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WORK\Project\1.MyProject\12_MicroWave\5_Review Data\"/>
    </mc:Choice>
  </mc:AlternateContent>
  <xr:revisionPtr revIDLastSave="0" documentId="13_ncr:1_{66FB7A88-30F3-4790-BA85-6A328FF572BE}" xr6:coauthVersionLast="45" xr6:coauthVersionMax="45" xr10:uidLastSave="{00000000-0000-0000-0000-000000000000}"/>
  <bookViews>
    <workbookView xWindow="-108" yWindow="-108" windowWidth="23256" windowHeight="12576" activeTab="9" xr2:uid="{00000000-000D-0000-FFFF-FFFF00000000}"/>
  </bookViews>
  <sheets>
    <sheet name="Reference" sheetId="4" r:id="rId1"/>
    <sheet name="System Budget" sheetId="1" r:id="rId2"/>
    <sheet name="Power" sheetId="2" r:id="rId3"/>
    <sheet name="FILTER" sheetId="5" r:id="rId4"/>
    <sheet name="Core" sheetId="8" r:id="rId5"/>
    <sheet name="COREf" sheetId="3" r:id="rId6"/>
    <sheet name="Coupler" sheetId="7" r:id="rId7"/>
    <sheet name="Sheet4" sheetId="9" r:id="rId8"/>
    <sheet name="HeatSink" sheetId="6" r:id="rId9"/>
    <sheet name="배치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7" l="1"/>
  <c r="O11" i="7"/>
  <c r="O10" i="7"/>
  <c r="O9" i="7"/>
  <c r="O8" i="7"/>
  <c r="N12" i="7"/>
  <c r="N11" i="7"/>
  <c r="N10" i="7"/>
  <c r="N9" i="7"/>
  <c r="P9" i="7" s="1"/>
  <c r="N8" i="7"/>
  <c r="P12" i="7"/>
  <c r="P11" i="7"/>
  <c r="P10" i="7"/>
  <c r="P8" i="7" l="1"/>
  <c r="R51" i="7"/>
  <c r="R50" i="7"/>
  <c r="R49" i="7"/>
  <c r="R48" i="7"/>
  <c r="R47" i="7"/>
  <c r="R46" i="7"/>
  <c r="R45" i="7"/>
  <c r="R39" i="7"/>
  <c r="R38" i="7"/>
  <c r="R37" i="7"/>
  <c r="R36" i="7"/>
  <c r="R35" i="7"/>
  <c r="R34" i="7"/>
  <c r="R33" i="7"/>
  <c r="K9" i="8"/>
  <c r="M4" i="8"/>
  <c r="N48" i="8"/>
  <c r="N49" i="8"/>
  <c r="N51" i="8"/>
  <c r="N52" i="8"/>
  <c r="N53" i="8"/>
  <c r="N54" i="8"/>
  <c r="N55" i="8"/>
  <c r="N56" i="8"/>
  <c r="N57" i="8"/>
  <c r="H64" i="8"/>
  <c r="N64" i="8"/>
  <c r="H65" i="8"/>
  <c r="N65" i="8"/>
  <c r="H66" i="8"/>
  <c r="H67" i="8"/>
  <c r="P25" i="8"/>
  <c r="O25" i="8"/>
  <c r="K25" i="8"/>
  <c r="L25" i="8" s="1"/>
  <c r="P22" i="8"/>
  <c r="O22" i="8"/>
  <c r="K22" i="8"/>
  <c r="L22" i="8" s="1"/>
  <c r="P24" i="8"/>
  <c r="O24" i="8"/>
  <c r="K24" i="8"/>
  <c r="L24" i="8" s="1"/>
  <c r="P23" i="8"/>
  <c r="O23" i="8"/>
  <c r="K23" i="8"/>
  <c r="L23" i="8" s="1"/>
  <c r="P18" i="8"/>
  <c r="O18" i="8"/>
  <c r="K18" i="8"/>
  <c r="L18" i="8" s="1"/>
  <c r="P12" i="8"/>
  <c r="O12" i="8"/>
  <c r="K12" i="8"/>
  <c r="L12" i="8" s="1"/>
  <c r="P21" i="8"/>
  <c r="O21" i="8"/>
  <c r="K21" i="8"/>
  <c r="L21" i="8" s="1"/>
  <c r="P9" i="8"/>
  <c r="O9" i="8"/>
  <c r="L9" i="8"/>
  <c r="P8" i="8"/>
  <c r="O8" i="8"/>
  <c r="K8" i="8"/>
  <c r="L8" i="8" s="1"/>
  <c r="F19" i="9" l="1"/>
  <c r="H19" i="9" s="1"/>
  <c r="H13" i="9"/>
  <c r="H12" i="9"/>
  <c r="O12" i="9" s="1"/>
  <c r="P12" i="9" s="1"/>
  <c r="H11" i="9"/>
  <c r="H10" i="9"/>
  <c r="H9" i="9"/>
  <c r="O9" i="9" s="1"/>
  <c r="H8" i="9"/>
  <c r="H7" i="9"/>
  <c r="F25" i="9"/>
  <c r="G25" i="9" s="1"/>
  <c r="D25" i="9"/>
  <c r="E25" i="9" s="1"/>
  <c r="D24" i="9"/>
  <c r="E24" i="9" s="1"/>
  <c r="D23" i="9"/>
  <c r="F23" i="9" s="1"/>
  <c r="H22" i="9"/>
  <c r="F22" i="9"/>
  <c r="G22" i="9" s="1"/>
  <c r="D22" i="9"/>
  <c r="E22" i="9" s="1"/>
  <c r="F21" i="9"/>
  <c r="H21" i="9" s="1"/>
  <c r="D21" i="9"/>
  <c r="E21" i="9" s="1"/>
  <c r="D20" i="9"/>
  <c r="E20" i="9" s="1"/>
  <c r="E19" i="9"/>
  <c r="O13" i="9"/>
  <c r="F13" i="9"/>
  <c r="G13" i="9" s="1"/>
  <c r="D13" i="9"/>
  <c r="E13" i="9" s="1"/>
  <c r="F12" i="9"/>
  <c r="G12" i="9" s="1"/>
  <c r="D12" i="9"/>
  <c r="E12" i="9" s="1"/>
  <c r="D11" i="9"/>
  <c r="F11" i="9" s="1"/>
  <c r="G11" i="9" s="1"/>
  <c r="D10" i="9"/>
  <c r="F9" i="9"/>
  <c r="G9" i="9" s="1"/>
  <c r="D9" i="9"/>
  <c r="E9" i="9" s="1"/>
  <c r="O8" i="9"/>
  <c r="P8" i="9" s="1"/>
  <c r="M8" i="9"/>
  <c r="N8" i="9" s="1"/>
  <c r="F8" i="9"/>
  <c r="G8" i="9" s="1"/>
  <c r="D8" i="9"/>
  <c r="E8" i="9" s="1"/>
  <c r="E7" i="9"/>
  <c r="P20" i="8"/>
  <c r="O20" i="8"/>
  <c r="K20" i="8"/>
  <c r="L20" i="8" s="1"/>
  <c r="P19" i="8"/>
  <c r="O19" i="8"/>
  <c r="K19" i="8"/>
  <c r="L19" i="8" s="1"/>
  <c r="P17" i="8"/>
  <c r="O17" i="8"/>
  <c r="K17" i="8"/>
  <c r="L17" i="8" s="1"/>
  <c r="P14" i="8"/>
  <c r="O14" i="8"/>
  <c r="K14" i="8"/>
  <c r="L14" i="8" s="1"/>
  <c r="P5" i="8"/>
  <c r="O5" i="8"/>
  <c r="K5" i="8"/>
  <c r="L5" i="8" s="1"/>
  <c r="P13" i="8"/>
  <c r="O13" i="8"/>
  <c r="K13" i="8"/>
  <c r="L13" i="8" s="1"/>
  <c r="P4" i="8"/>
  <c r="O4" i="8"/>
  <c r="K4" i="8"/>
  <c r="L4" i="8" s="1"/>
  <c r="P7" i="8"/>
  <c r="O7" i="8"/>
  <c r="K7" i="8"/>
  <c r="L7" i="8" s="1"/>
  <c r="O6" i="8"/>
  <c r="O10" i="8"/>
  <c r="O11" i="8"/>
  <c r="O16" i="8"/>
  <c r="O15" i="8"/>
  <c r="P15" i="8"/>
  <c r="K15" i="8"/>
  <c r="L15" i="8" s="1"/>
  <c r="P16" i="8"/>
  <c r="K16" i="8"/>
  <c r="L16" i="8" s="1"/>
  <c r="P11" i="8"/>
  <c r="K11" i="8"/>
  <c r="L11" i="8" s="1"/>
  <c r="P10" i="8"/>
  <c r="K10" i="8"/>
  <c r="L10" i="8" s="1"/>
  <c r="P6" i="8"/>
  <c r="K6" i="8"/>
  <c r="L6" i="8" s="1"/>
  <c r="M12" i="9" l="1"/>
  <c r="N12" i="9" s="1"/>
  <c r="J21" i="9"/>
  <c r="L21" i="9" s="1"/>
  <c r="I21" i="9"/>
  <c r="P13" i="9"/>
  <c r="Q13" i="9"/>
  <c r="H23" i="9"/>
  <c r="G23" i="9"/>
  <c r="Q9" i="9"/>
  <c r="P9" i="9"/>
  <c r="I10" i="9"/>
  <c r="J10" i="9"/>
  <c r="K10" i="9" s="1"/>
  <c r="L10" i="9" s="1"/>
  <c r="O10" i="9"/>
  <c r="M10" i="9"/>
  <c r="N10" i="9" s="1"/>
  <c r="E11" i="9"/>
  <c r="J13" i="9"/>
  <c r="K13" i="9" s="1"/>
  <c r="L13" i="9" s="1"/>
  <c r="F24" i="9"/>
  <c r="H25" i="9"/>
  <c r="I12" i="9"/>
  <c r="F10" i="9"/>
  <c r="G10" i="9" s="1"/>
  <c r="J12" i="9"/>
  <c r="K12" i="9" s="1"/>
  <c r="L12" i="9" s="1"/>
  <c r="G21" i="9"/>
  <c r="I22" i="9"/>
  <c r="F7" i="9"/>
  <c r="G7" i="9" s="1"/>
  <c r="J9" i="9"/>
  <c r="K9" i="9" s="1"/>
  <c r="L9" i="9" s="1"/>
  <c r="F20" i="9"/>
  <c r="J22" i="9"/>
  <c r="I8" i="9"/>
  <c r="Q8" i="9"/>
  <c r="E10" i="9"/>
  <c r="Q12" i="9"/>
  <c r="E23" i="9"/>
  <c r="J8" i="9"/>
  <c r="K8" i="9" s="1"/>
  <c r="L8" i="9" s="1"/>
  <c r="M9" i="9"/>
  <c r="N9" i="9" s="1"/>
  <c r="M13" i="9"/>
  <c r="N13" i="9" s="1"/>
  <c r="I9" i="9"/>
  <c r="I13" i="9"/>
  <c r="H62" i="7"/>
  <c r="G62" i="7"/>
  <c r="F62" i="7"/>
  <c r="E62" i="7"/>
  <c r="G56" i="7"/>
  <c r="G57" i="7" s="1"/>
  <c r="F56" i="7"/>
  <c r="F57" i="7" s="1"/>
  <c r="E56" i="7"/>
  <c r="E57" i="7" s="1"/>
  <c r="E51" i="7"/>
  <c r="G51" i="7" s="1"/>
  <c r="I50" i="7"/>
  <c r="J50" i="7" s="1"/>
  <c r="G50" i="7"/>
  <c r="H50" i="7" s="1"/>
  <c r="E50" i="7"/>
  <c r="F50" i="7" s="1"/>
  <c r="G49" i="7"/>
  <c r="H49" i="7" s="1"/>
  <c r="E49" i="7"/>
  <c r="F49" i="7" s="1"/>
  <c r="E48" i="7"/>
  <c r="F48" i="7" s="1"/>
  <c r="E47" i="7"/>
  <c r="G47" i="7" s="1"/>
  <c r="I46" i="7"/>
  <c r="J46" i="7" s="1"/>
  <c r="G46" i="7"/>
  <c r="H46" i="7" s="1"/>
  <c r="E46" i="7"/>
  <c r="F46" i="7" s="1"/>
  <c r="G45" i="7"/>
  <c r="H45" i="7" s="1"/>
  <c r="E45" i="7"/>
  <c r="F45" i="7" s="1"/>
  <c r="E39" i="7"/>
  <c r="F39" i="7" s="1"/>
  <c r="I38" i="7"/>
  <c r="K38" i="7" s="1"/>
  <c r="L38" i="7" s="1"/>
  <c r="M38" i="7" s="1"/>
  <c r="E38" i="7"/>
  <c r="G38" i="7" s="1"/>
  <c r="H38" i="7" s="1"/>
  <c r="I37" i="7"/>
  <c r="J37" i="7" s="1"/>
  <c r="G37" i="7"/>
  <c r="H37" i="7" s="1"/>
  <c r="E37" i="7"/>
  <c r="F37" i="7" s="1"/>
  <c r="E36" i="7"/>
  <c r="G36" i="7" s="1"/>
  <c r="H36" i="7" s="1"/>
  <c r="E35" i="7"/>
  <c r="F35" i="7" s="1"/>
  <c r="I34" i="7"/>
  <c r="K34" i="7" s="1"/>
  <c r="L34" i="7" s="1"/>
  <c r="M34" i="7" s="1"/>
  <c r="E34" i="7"/>
  <c r="F34" i="7" s="1"/>
  <c r="I33" i="7"/>
  <c r="J33" i="7" s="1"/>
  <c r="G33" i="7"/>
  <c r="H33" i="7" s="1"/>
  <c r="E33" i="7"/>
  <c r="F33" i="7" s="1"/>
  <c r="F25" i="7"/>
  <c r="F26" i="7" s="1"/>
  <c r="K20" i="7"/>
  <c r="J20" i="7"/>
  <c r="K18" i="7"/>
  <c r="J18" i="7"/>
  <c r="I18" i="7"/>
  <c r="I20" i="7" s="1"/>
  <c r="H18" i="7"/>
  <c r="H20" i="7" s="1"/>
  <c r="G18" i="7"/>
  <c r="G20" i="7" s="1"/>
  <c r="F18" i="7"/>
  <c r="F20" i="7" s="1"/>
  <c r="J12" i="7"/>
  <c r="I12" i="7"/>
  <c r="K12" i="7" s="1"/>
  <c r="L12" i="7" s="1"/>
  <c r="M12" i="7" s="1"/>
  <c r="H12" i="7"/>
  <c r="G12" i="7"/>
  <c r="F12" i="7"/>
  <c r="E12" i="7"/>
  <c r="I11" i="7"/>
  <c r="J11" i="7" s="1"/>
  <c r="G11" i="7"/>
  <c r="H11" i="7" s="1"/>
  <c r="E11" i="7"/>
  <c r="F11" i="7" s="1"/>
  <c r="L10" i="7"/>
  <c r="M10" i="7" s="1"/>
  <c r="K10" i="7"/>
  <c r="J10" i="7"/>
  <c r="I10" i="7"/>
  <c r="E10" i="7"/>
  <c r="G10" i="7" s="1"/>
  <c r="H10" i="7" s="1"/>
  <c r="I9" i="7"/>
  <c r="K9" i="7" s="1"/>
  <c r="L9" i="7" s="1"/>
  <c r="M9" i="7" s="1"/>
  <c r="E9" i="7"/>
  <c r="G9" i="7" s="1"/>
  <c r="H9" i="7" s="1"/>
  <c r="F8" i="7"/>
  <c r="E8" i="7"/>
  <c r="I8" i="7" s="1"/>
  <c r="M21" i="9" l="1"/>
  <c r="N21" i="9" s="1"/>
  <c r="O21" i="9"/>
  <c r="K21" i="9"/>
  <c r="L25" i="9"/>
  <c r="J25" i="9"/>
  <c r="I25" i="9"/>
  <c r="O22" i="9"/>
  <c r="M22" i="9"/>
  <c r="N22" i="9" s="1"/>
  <c r="K22" i="9"/>
  <c r="J11" i="9"/>
  <c r="K11" i="9" s="1"/>
  <c r="L11" i="9" s="1"/>
  <c r="M11" i="9"/>
  <c r="N11" i="9" s="1"/>
  <c r="I11" i="9"/>
  <c r="O11" i="9"/>
  <c r="Q10" i="9"/>
  <c r="P10" i="9"/>
  <c r="G19" i="9"/>
  <c r="H20" i="9"/>
  <c r="G20" i="9"/>
  <c r="L22" i="9"/>
  <c r="H24" i="9"/>
  <c r="G24" i="9"/>
  <c r="J23" i="9"/>
  <c r="I23" i="9"/>
  <c r="M7" i="9"/>
  <c r="N7" i="9" s="1"/>
  <c r="J7" i="9"/>
  <c r="K7" i="9" s="1"/>
  <c r="L7" i="9" s="1"/>
  <c r="I7" i="9"/>
  <c r="O7" i="9"/>
  <c r="I51" i="7"/>
  <c r="H51" i="7"/>
  <c r="I47" i="7"/>
  <c r="H47" i="7"/>
  <c r="K8" i="7"/>
  <c r="L8" i="7" s="1"/>
  <c r="M8" i="7" s="1"/>
  <c r="J8" i="7"/>
  <c r="F47" i="7"/>
  <c r="F51" i="7"/>
  <c r="K11" i="7"/>
  <c r="L11" i="7" s="1"/>
  <c r="M11" i="7" s="1"/>
  <c r="K33" i="7"/>
  <c r="L33" i="7" s="1"/>
  <c r="M33" i="7" s="1"/>
  <c r="G35" i="7"/>
  <c r="H35" i="7" s="1"/>
  <c r="I36" i="7"/>
  <c r="K37" i="7"/>
  <c r="L37" i="7" s="1"/>
  <c r="M37" i="7" s="1"/>
  <c r="G39" i="7"/>
  <c r="H39" i="7" s="1"/>
  <c r="I45" i="7"/>
  <c r="K46" i="7"/>
  <c r="G48" i="7"/>
  <c r="I49" i="7"/>
  <c r="K50" i="7"/>
  <c r="G8" i="7"/>
  <c r="H8" i="7" s="1"/>
  <c r="F9" i="7"/>
  <c r="N34" i="7"/>
  <c r="O34" i="7" s="1"/>
  <c r="F38" i="7"/>
  <c r="F10" i="7"/>
  <c r="G34" i="7"/>
  <c r="H34" i="7" s="1"/>
  <c r="I35" i="7"/>
  <c r="I39" i="7"/>
  <c r="M50" i="7"/>
  <c r="N38" i="7"/>
  <c r="O38" i="7" s="1"/>
  <c r="N33" i="7"/>
  <c r="O33" i="7" s="1"/>
  <c r="P34" i="7"/>
  <c r="N37" i="7"/>
  <c r="O37" i="7" s="1"/>
  <c r="P38" i="7"/>
  <c r="J9" i="7"/>
  <c r="P33" i="7"/>
  <c r="J34" i="7"/>
  <c r="F36" i="7"/>
  <c r="P37" i="7"/>
  <c r="J38" i="7"/>
  <c r="P22" i="9" l="1"/>
  <c r="Q22" i="9"/>
  <c r="O23" i="9"/>
  <c r="M23" i="9"/>
  <c r="N23" i="9" s="1"/>
  <c r="K23" i="9"/>
  <c r="Q7" i="9"/>
  <c r="P7" i="9"/>
  <c r="L24" i="9"/>
  <c r="J24" i="9"/>
  <c r="I24" i="9"/>
  <c r="Q11" i="9"/>
  <c r="P11" i="9"/>
  <c r="M25" i="9"/>
  <c r="N25" i="9" s="1"/>
  <c r="K25" i="9"/>
  <c r="O25" i="9"/>
  <c r="J19" i="9"/>
  <c r="I19" i="9"/>
  <c r="P21" i="9"/>
  <c r="Q21" i="9"/>
  <c r="J20" i="9"/>
  <c r="L20" i="9"/>
  <c r="I20" i="9"/>
  <c r="L23" i="9"/>
  <c r="J51" i="7"/>
  <c r="M51" i="7"/>
  <c r="K51" i="7"/>
  <c r="Q34" i="7"/>
  <c r="P46" i="7"/>
  <c r="N46" i="7"/>
  <c r="O46" i="7" s="1"/>
  <c r="L46" i="7"/>
  <c r="Q37" i="7"/>
  <c r="K45" i="7"/>
  <c r="J45" i="7"/>
  <c r="I48" i="7"/>
  <c r="H48" i="7"/>
  <c r="Q33" i="7"/>
  <c r="M46" i="7"/>
  <c r="P36" i="7"/>
  <c r="N36" i="7"/>
  <c r="O36" i="7" s="1"/>
  <c r="J36" i="7"/>
  <c r="K36" i="7"/>
  <c r="L36" i="7" s="1"/>
  <c r="M36" i="7" s="1"/>
  <c r="N39" i="7"/>
  <c r="O39" i="7" s="1"/>
  <c r="K39" i="7"/>
  <c r="L39" i="7" s="1"/>
  <c r="M39" i="7" s="1"/>
  <c r="J39" i="7"/>
  <c r="P39" i="7"/>
  <c r="P50" i="7"/>
  <c r="N50" i="7"/>
  <c r="O50" i="7" s="1"/>
  <c r="L50" i="7"/>
  <c r="K47" i="7"/>
  <c r="J47" i="7"/>
  <c r="M47" i="7"/>
  <c r="Q38" i="7"/>
  <c r="N35" i="7"/>
  <c r="O35" i="7" s="1"/>
  <c r="K35" i="7"/>
  <c r="L35" i="7" s="1"/>
  <c r="M35" i="7" s="1"/>
  <c r="J35" i="7"/>
  <c r="P35" i="7"/>
  <c r="K49" i="7"/>
  <c r="J49" i="7"/>
  <c r="Q25" i="9" l="1"/>
  <c r="P25" i="9"/>
  <c r="K20" i="9"/>
  <c r="O20" i="9"/>
  <c r="M20" i="9"/>
  <c r="N20" i="9" s="1"/>
  <c r="Q23" i="9"/>
  <c r="P23" i="9"/>
  <c r="O19" i="9"/>
  <c r="K19" i="9"/>
  <c r="M19" i="9"/>
  <c r="N19" i="9" s="1"/>
  <c r="L19" i="9"/>
  <c r="K24" i="9"/>
  <c r="O24" i="9"/>
  <c r="M24" i="9"/>
  <c r="N24" i="9" s="1"/>
  <c r="P49" i="7"/>
  <c r="N49" i="7"/>
  <c r="O49" i="7" s="1"/>
  <c r="L49" i="7"/>
  <c r="M49" i="7"/>
  <c r="Q35" i="7"/>
  <c r="L47" i="7"/>
  <c r="P47" i="7"/>
  <c r="N47" i="7"/>
  <c r="O47" i="7" s="1"/>
  <c r="K48" i="7"/>
  <c r="J48" i="7"/>
  <c r="Q46" i="7"/>
  <c r="Q39" i="7"/>
  <c r="P45" i="7"/>
  <c r="N45" i="7"/>
  <c r="O45" i="7" s="1"/>
  <c r="L45" i="7"/>
  <c r="Q50" i="7"/>
  <c r="Q36" i="7"/>
  <c r="M45" i="7"/>
  <c r="L51" i="7"/>
  <c r="P51" i="7"/>
  <c r="N51" i="7"/>
  <c r="O51" i="7" s="1"/>
  <c r="Q19" i="9" l="1"/>
  <c r="P19" i="9"/>
  <c r="Q24" i="9"/>
  <c r="P24" i="9"/>
  <c r="Q20" i="9"/>
  <c r="P20" i="9"/>
  <c r="Q49" i="7"/>
  <c r="Q47" i="7"/>
  <c r="Q45" i="7"/>
  <c r="Q51" i="7"/>
  <c r="N48" i="7"/>
  <c r="O48" i="7" s="1"/>
  <c r="L48" i="7"/>
  <c r="P48" i="7"/>
  <c r="M48" i="7"/>
  <c r="Q48" i="7" l="1"/>
  <c r="N31" i="3" l="1"/>
  <c r="M31" i="3"/>
  <c r="D17" i="2"/>
  <c r="C17" i="2"/>
  <c r="E6" i="2" l="1"/>
  <c r="E8" i="2" s="1"/>
  <c r="J7" i="2" l="1"/>
  <c r="I7" i="2"/>
  <c r="D8" i="2"/>
  <c r="C8" i="2"/>
  <c r="O23" i="2"/>
  <c r="O22" i="2"/>
  <c r="O21" i="2"/>
  <c r="O20" i="2"/>
  <c r="O19" i="2"/>
  <c r="O18" i="2"/>
  <c r="O17" i="2"/>
  <c r="O16" i="2"/>
  <c r="D6" i="2" l="1"/>
  <c r="C6" i="2"/>
  <c r="D16" i="2"/>
  <c r="P10" i="2"/>
  <c r="O10" i="2"/>
  <c r="C16" i="2" l="1"/>
  <c r="L19" i="1"/>
  <c r="L18" i="1"/>
  <c r="K19" i="1"/>
  <c r="K18" i="1"/>
  <c r="J19" i="1"/>
  <c r="J18" i="1"/>
  <c r="L6" i="1"/>
  <c r="L5" i="1"/>
  <c r="K6" i="1"/>
  <c r="K5" i="1"/>
  <c r="U6" i="1"/>
  <c r="T6" i="1"/>
  <c r="U5" i="1"/>
  <c r="T5" i="1"/>
  <c r="N6" i="1" l="1"/>
  <c r="I6" i="1"/>
  <c r="I5" i="1"/>
  <c r="S5" i="1"/>
  <c r="R5" i="1"/>
  <c r="G6" i="1"/>
  <c r="H6" i="1" s="1"/>
  <c r="H5" i="1"/>
  <c r="G5" i="1"/>
  <c r="Q6" i="1"/>
  <c r="R6" i="1" s="1"/>
  <c r="D6" i="1"/>
  <c r="D5" i="1"/>
  <c r="Q5" i="1"/>
  <c r="S6" i="1" l="1"/>
</calcChain>
</file>

<file path=xl/sharedStrings.xml><?xml version="1.0" encoding="utf-8"?>
<sst xmlns="http://schemas.openxmlformats.org/spreadsheetml/2006/main" count="379" uniqueCount="207">
  <si>
    <t>DDS</t>
    <phoneticPr fontId="1" type="noConversion"/>
  </si>
  <si>
    <t>Vpp</t>
    <phoneticPr fontId="1" type="noConversion"/>
  </si>
  <si>
    <t>Vrms</t>
    <phoneticPr fontId="1" type="noConversion"/>
  </si>
  <si>
    <t>LT1210</t>
    <phoneticPr fontId="1" type="noConversion"/>
  </si>
  <si>
    <t>R4</t>
    <phoneticPr fontId="1" type="noConversion"/>
  </si>
  <si>
    <t>R7</t>
    <phoneticPr fontId="1" type="noConversion"/>
  </si>
  <si>
    <t>Gain</t>
    <phoneticPr fontId="1" type="noConversion"/>
  </si>
  <si>
    <t>AD8051</t>
    <phoneticPr fontId="1" type="noConversion"/>
  </si>
  <si>
    <t>R34</t>
    <phoneticPr fontId="1" type="noConversion"/>
  </si>
  <si>
    <t>R33</t>
    <phoneticPr fontId="1" type="noConversion"/>
  </si>
  <si>
    <t>T1_OUT-</t>
    <phoneticPr fontId="1" type="noConversion"/>
  </si>
  <si>
    <t>T1_OUT+</t>
    <phoneticPr fontId="1" type="noConversion"/>
  </si>
  <si>
    <t>LPF</t>
    <phoneticPr fontId="1" type="noConversion"/>
  </si>
  <si>
    <t>IL</t>
    <phoneticPr fontId="1" type="noConversion"/>
  </si>
  <si>
    <t>Measure</t>
    <phoneticPr fontId="1" type="noConversion"/>
  </si>
  <si>
    <t>VR</t>
    <phoneticPr fontId="1" type="noConversion"/>
  </si>
  <si>
    <t>R_Shunt</t>
    <phoneticPr fontId="1" type="noConversion"/>
  </si>
  <si>
    <t>R1_series</t>
    <phoneticPr fontId="1" type="noConversion"/>
  </si>
  <si>
    <t>V_Bias</t>
    <phoneticPr fontId="1" type="noConversion"/>
  </si>
  <si>
    <t>MCLK</t>
    <phoneticPr fontId="1" type="noConversion"/>
  </si>
  <si>
    <t>Fout</t>
    <phoneticPr fontId="1" type="noConversion"/>
  </si>
  <si>
    <t>FET Bias</t>
    <phoneticPr fontId="1" type="noConversion"/>
  </si>
  <si>
    <t>Vcc</t>
    <phoneticPr fontId="1" type="noConversion"/>
  </si>
  <si>
    <t>Power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</si>
  <si>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</si>
  <si>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</si>
  <si>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</si>
  <si>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Connector</t>
    <phoneticPr fontId="1" type="noConversion"/>
  </si>
  <si>
    <t>V[Vac]</t>
    <phoneticPr fontId="1" type="noConversion"/>
  </si>
  <si>
    <t>I[A]</t>
    <phoneticPr fontId="1" type="noConversion"/>
  </si>
  <si>
    <t>Pin #</t>
    <phoneticPr fontId="1" type="noConversion"/>
  </si>
  <si>
    <t>I_total[A]</t>
    <phoneticPr fontId="1" type="noConversion"/>
  </si>
  <si>
    <t>HIF3H-xxPA-2.54DSA</t>
    <phoneticPr fontId="1" type="noConversion"/>
  </si>
  <si>
    <t>HIF3H-xxDA-2.54DSA</t>
    <phoneticPr fontId="1" type="noConversion"/>
  </si>
  <si>
    <t>MX5569</t>
    <phoneticPr fontId="1" type="noConversion"/>
  </si>
  <si>
    <t>MX35313</t>
    <phoneticPr fontId="1" type="noConversion"/>
  </si>
  <si>
    <t>BR1104C</t>
    <phoneticPr fontId="1" type="noConversion"/>
  </si>
  <si>
    <t>BR950C</t>
    <phoneticPr fontId="1" type="noConversion"/>
  </si>
  <si>
    <t>BR762C</t>
  </si>
  <si>
    <t>MX5267</t>
    <phoneticPr fontId="1" type="noConversion"/>
  </si>
  <si>
    <t>SMPS</t>
    <phoneticPr fontId="1" type="noConversion"/>
  </si>
  <si>
    <t>Voltage</t>
    <phoneticPr fontId="1" type="noConversion"/>
  </si>
  <si>
    <t>Current</t>
    <phoneticPr fontId="1" type="noConversion"/>
  </si>
  <si>
    <t>Pin Current</t>
    <phoneticPr fontId="1" type="noConversion"/>
  </si>
  <si>
    <t>Pin #</t>
    <phoneticPr fontId="1" type="noConversion"/>
  </si>
  <si>
    <t>Ω</t>
    <phoneticPr fontId="1" type="noConversion"/>
  </si>
  <si>
    <t>Unit</t>
    <phoneticPr fontId="1" type="noConversion"/>
  </si>
  <si>
    <t>ea</t>
    <phoneticPr fontId="1" type="noConversion"/>
  </si>
  <si>
    <t>LED</t>
    <phoneticPr fontId="1" type="noConversion"/>
  </si>
  <si>
    <t>R</t>
    <phoneticPr fontId="1" type="noConversion"/>
  </si>
  <si>
    <t>I</t>
    <phoneticPr fontId="1" type="noConversion"/>
  </si>
  <si>
    <t>V_LED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</si>
  <si>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</si>
  <si>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</si>
  <si>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</si>
  <si>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</si>
  <si>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</si>
  <si>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</si>
  <si>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</si>
  <si>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</si>
  <si>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</si>
  <si>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</si>
  <si>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</si>
  <si>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</si>
  <si>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</si>
  <si>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</si>
  <si>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</si>
  <si>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</si>
  <si>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</si>
  <si>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Core</t>
    <phoneticPr fontId="1" type="noConversion"/>
  </si>
  <si>
    <t>Freq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</si>
  <si>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</si>
  <si>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RF</t>
    <phoneticPr fontId="1" type="noConversion"/>
  </si>
  <si>
    <t>L6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</si>
  <si>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</si>
  <si>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</si>
  <si>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t>L7,L8,L9</t>
    <phoneticPr fontId="1" type="noConversion"/>
  </si>
  <si>
    <t>Coupler</t>
    <phoneticPr fontId="1" type="noConversion"/>
  </si>
  <si>
    <t>TX1</t>
    <phoneticPr fontId="1" type="noConversion"/>
  </si>
  <si>
    <t>RF-800</t>
    <phoneticPr fontId="1" type="noConversion"/>
  </si>
  <si>
    <t>TX2 - 1차</t>
    <phoneticPr fontId="1" type="noConversion"/>
  </si>
  <si>
    <t>RF-1000</t>
    <phoneticPr fontId="1" type="noConversion"/>
  </si>
  <si>
    <t>TX2 - 2차</t>
    <phoneticPr fontId="1" type="noConversion"/>
  </si>
  <si>
    <t>1/2</t>
    <phoneticPr fontId="1" type="noConversion"/>
  </si>
  <si>
    <t>enCurve</t>
    <phoneticPr fontId="1" type="noConversion"/>
  </si>
  <si>
    <t>LUTRONIC</t>
    <phoneticPr fontId="1" type="noConversion"/>
  </si>
  <si>
    <t>Manufacturer</t>
    <phoneticPr fontId="5" type="noConversion"/>
  </si>
  <si>
    <t>Model</t>
    <phoneticPr fontId="5" type="noConversion"/>
  </si>
  <si>
    <t xml:space="preserve">Operating frequency </t>
    <phoneticPr fontId="5" type="noConversion"/>
  </si>
  <si>
    <t>HF power</t>
    <phoneticPr fontId="5" type="noConversion"/>
  </si>
  <si>
    <t>Treatment Mode</t>
    <phoneticPr fontId="5" type="noConversion"/>
  </si>
  <si>
    <t>27.12MHz</t>
    <phoneticPr fontId="5" type="noConversion"/>
  </si>
  <si>
    <t>10 ~ 300W</t>
    <phoneticPr fontId="5" type="noConversion"/>
  </si>
  <si>
    <t>continuous</t>
    <phoneticPr fontId="5" type="noConversion"/>
  </si>
  <si>
    <t>1300 VA</t>
    <phoneticPr fontId="5" type="noConversion"/>
  </si>
  <si>
    <t xml:space="preserve">AC 220 V </t>
    <phoneticPr fontId="5" type="noConversion"/>
  </si>
  <si>
    <t>60 Hz</t>
    <phoneticPr fontId="5" type="noConversion"/>
  </si>
  <si>
    <t>475 x 758 x 1133 mm</t>
    <phoneticPr fontId="5" type="noConversion"/>
  </si>
  <si>
    <t>67 kg</t>
    <phoneticPr fontId="5" type="noConversion"/>
  </si>
  <si>
    <t>Power consumption</t>
    <phoneticPr fontId="5" type="noConversion"/>
  </si>
  <si>
    <t xml:space="preserve">Power connection </t>
    <phoneticPr fontId="5" type="noConversion"/>
  </si>
  <si>
    <t xml:space="preserve">Mains frequency </t>
  </si>
  <si>
    <t>Dimensions (W x D x H)</t>
    <phoneticPr fontId="5" type="noConversion"/>
  </si>
  <si>
    <t>Reference Spec</t>
    <phoneticPr fontId="1" type="noConversion"/>
  </si>
  <si>
    <t>Weight</t>
    <phoneticPr fontId="5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</si>
  <si>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</si>
  <si>
    <t>L6,L7,L8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</si>
  <si>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</si>
  <si>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P_Shunt</t>
    <phoneticPr fontId="1" type="noConversion"/>
  </si>
  <si>
    <t>W</t>
    <phoneticPr fontId="1" type="noConversion"/>
  </si>
  <si>
    <t>RF Output FILTER</t>
    <phoneticPr fontId="1" type="noConversion"/>
  </si>
  <si>
    <t>RF Input FILTER</t>
    <phoneticPr fontId="1" type="noConversion"/>
  </si>
  <si>
    <t>Impedance Calculation</t>
    <phoneticPr fontId="1" type="noConversion"/>
  </si>
  <si>
    <t>Value</t>
    <phoneticPr fontId="1" type="noConversion"/>
  </si>
  <si>
    <t>C[pF]</t>
    <phoneticPr fontId="1" type="noConversion"/>
  </si>
  <si>
    <t>L[uH]</t>
    <phoneticPr fontId="1" type="noConversion"/>
  </si>
  <si>
    <t>C[nF]</t>
    <phoneticPr fontId="1" type="noConversion"/>
  </si>
  <si>
    <t>Long-wave SWR meter</t>
    <phoneticPr fontId="1" type="noConversion"/>
  </si>
  <si>
    <t>Circuit</t>
    <phoneticPr fontId="1" type="noConversion"/>
  </si>
  <si>
    <t>1) Transformer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</si>
  <si>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</si>
  <si>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turn ratio 1:25의 동일한 Transformer 2ea 사용</t>
    <phoneticPr fontId="1" type="noConversion"/>
  </si>
  <si>
    <t>RF-INPUT</t>
    <phoneticPr fontId="1" type="noConversion"/>
  </si>
  <si>
    <t>coupling 1:25</t>
    <phoneticPr fontId="1" type="noConversion"/>
  </si>
  <si>
    <t>P[W]</t>
    <phoneticPr fontId="1" type="noConversion"/>
  </si>
  <si>
    <t>Vrms[V]</t>
    <phoneticPr fontId="1" type="noConversion"/>
  </si>
  <si>
    <t>Vpp[V]</t>
    <phoneticPr fontId="1" type="noConversion"/>
  </si>
  <si>
    <t>Irms[A]</t>
    <phoneticPr fontId="1" type="noConversion"/>
  </si>
  <si>
    <t>Ipp[A]</t>
    <phoneticPr fontId="1" type="noConversion"/>
  </si>
  <si>
    <t>2차측 impedance가 Load impedance의 10배의 impedance를 가져야 한다.</t>
    <phoneticPr fontId="1" type="noConversion"/>
  </si>
  <si>
    <t>FT114-43</t>
    <phoneticPr fontId="1" type="noConversion"/>
  </si>
  <si>
    <t>FT50-43</t>
    <phoneticPr fontId="1" type="noConversion"/>
  </si>
  <si>
    <t>UNIT</t>
    <phoneticPr fontId="1" type="noConversion"/>
  </si>
  <si>
    <t>Core OD</t>
    <phoneticPr fontId="1" type="noConversion"/>
  </si>
  <si>
    <t>mm</t>
    <phoneticPr fontId="1" type="noConversion"/>
  </si>
  <si>
    <t>uH for 25T</t>
    <phoneticPr fontId="1" type="noConversion"/>
  </si>
  <si>
    <t>uH</t>
    <phoneticPr fontId="1" type="noConversion"/>
  </si>
  <si>
    <t>Start frequency</t>
    <phoneticPr fontId="1" type="noConversion"/>
  </si>
  <si>
    <t>MHz</t>
    <phoneticPr fontId="1" type="noConversion"/>
  </si>
  <si>
    <t>2차측 impedance</t>
    <phoneticPr fontId="1" type="noConversion"/>
  </si>
  <si>
    <t>2차측 권선 길이</t>
    <phoneticPr fontId="1" type="noConversion"/>
  </si>
  <si>
    <t>m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</si>
  <si>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</si>
  <si>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</si>
  <si>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</si>
  <si>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2차측 권선 최대 길이</t>
    <phoneticPr fontId="1" type="noConversion"/>
  </si>
  <si>
    <t>2) rectified circuit</t>
    <phoneticPr fontId="1" type="noConversion"/>
  </si>
  <si>
    <t>VT - 1차측의 전류는 Load Z와 Trans Z로 계산해야 함.(Transformer 공식 사용하면 안됨)</t>
    <phoneticPr fontId="1" type="noConversion"/>
  </si>
  <si>
    <t>VT Turn ratio</t>
    <phoneticPr fontId="1" type="noConversion"/>
  </si>
  <si>
    <t>1차</t>
    <phoneticPr fontId="1" type="noConversion"/>
  </si>
  <si>
    <t>R1</t>
    <phoneticPr fontId="1" type="noConversion"/>
  </si>
  <si>
    <t>R2</t>
    <phoneticPr fontId="1" type="noConversion"/>
  </si>
  <si>
    <t>2차</t>
    <phoneticPr fontId="1" type="noConversion"/>
  </si>
  <si>
    <t>R1[KΩ]</t>
    <phoneticPr fontId="1" type="noConversion"/>
  </si>
  <si>
    <t>R2[KΩ]</t>
    <phoneticPr fontId="1" type="noConversion"/>
  </si>
  <si>
    <t>CT  - 1차측의 전압은 Load Z와 Trans Z로 계산해야 함.(Transformer 공식 사용하면 안됨)</t>
    <phoneticPr fontId="1" type="noConversion"/>
  </si>
  <si>
    <t>CT Turn ratio</t>
    <phoneticPr fontId="1" type="noConversion"/>
  </si>
  <si>
    <t>R2[KΩ]</t>
  </si>
  <si>
    <t>RC Filter 설계</t>
    <phoneticPr fontId="1" type="noConversion"/>
  </si>
  <si>
    <t>KΩ</t>
    <phoneticPr fontId="1" type="noConversion"/>
  </si>
  <si>
    <t>C</t>
    <phoneticPr fontId="1" type="noConversion"/>
  </si>
  <si>
    <t>pF</t>
    <phoneticPr fontId="1" type="noConversion"/>
  </si>
  <si>
    <t>Fc</t>
    <phoneticPr fontId="1" type="noConversion"/>
  </si>
  <si>
    <t>KHz</t>
    <phoneticPr fontId="1" type="noConversion"/>
  </si>
  <si>
    <t>τ</t>
    <phoneticPr fontId="1" type="noConversion"/>
  </si>
  <si>
    <t>usec</t>
    <phoneticPr fontId="1" type="noConversion"/>
  </si>
  <si>
    <t>Bypass Cap</t>
    <phoneticPr fontId="1" type="noConversion"/>
  </si>
  <si>
    <t>Z</t>
    <phoneticPr fontId="1" type="noConversion"/>
  </si>
  <si>
    <t>F[MHz]</t>
    <phoneticPr fontId="1" type="noConversion"/>
  </si>
  <si>
    <t>Turn calculation</t>
    <phoneticPr fontId="1" type="noConversion"/>
  </si>
  <si>
    <t>L calculation</t>
    <phoneticPr fontId="1" type="noConversion"/>
  </si>
  <si>
    <t>Freq
[MHz]</t>
    <phoneticPr fontId="1" type="noConversion"/>
  </si>
  <si>
    <t>FT114-61</t>
    <phoneticPr fontId="1" type="noConversion"/>
  </si>
  <si>
    <t>Size[mm]</t>
    <phoneticPr fontId="1" type="noConversion"/>
  </si>
  <si>
    <t>T94-6</t>
    <phoneticPr fontId="1" type="noConversion"/>
  </si>
  <si>
    <t>Freq Range</t>
    <phoneticPr fontId="1" type="noConversion"/>
  </si>
  <si>
    <t>CORE</t>
    <phoneticPr fontId="1" type="noConversion"/>
  </si>
  <si>
    <t>FT82-61</t>
    <phoneticPr fontId="1" type="noConversion"/>
  </si>
  <si>
    <t>T80-6</t>
    <phoneticPr fontId="1" type="noConversion"/>
  </si>
  <si>
    <t>T94-2</t>
    <phoneticPr fontId="1" type="noConversion"/>
  </si>
  <si>
    <t>T80-2</t>
    <phoneticPr fontId="1" type="noConversion"/>
  </si>
  <si>
    <t>T50-2</t>
    <phoneticPr fontId="1" type="noConversion"/>
  </si>
  <si>
    <t>Wideband : 20~500MHz
High-Q 0.2 - 10 MHz</t>
    <phoneticPr fontId="1" type="noConversion"/>
  </si>
  <si>
    <t>Wideband : 5~400MHz
PWR Trans : 0.5 - 30 MHz</t>
    <phoneticPr fontId="1" type="noConversion"/>
  </si>
  <si>
    <t>Core Specification</t>
    <phoneticPr fontId="1" type="noConversion"/>
  </si>
  <si>
    <t>Load</t>
    <phoneticPr fontId="1" type="noConversion"/>
  </si>
  <si>
    <t>C23-E9</t>
    <phoneticPr fontId="1" type="noConversion"/>
  </si>
  <si>
    <t>C27-A11</t>
    <phoneticPr fontId="1" type="noConversion"/>
  </si>
  <si>
    <t>C18-A6</t>
    <phoneticPr fontId="1" type="noConversion"/>
  </si>
  <si>
    <t>T68-26A</t>
    <phoneticPr fontId="1" type="noConversion"/>
  </si>
  <si>
    <t>C18-E6</t>
    <phoneticPr fontId="1" type="noConversion"/>
  </si>
  <si>
    <t>T68-2A</t>
    <phoneticPr fontId="1" type="noConversion"/>
  </si>
  <si>
    <t>C21-A6</t>
    <phoneticPr fontId="1" type="noConversion"/>
  </si>
  <si>
    <t>T80-26</t>
    <phoneticPr fontId="1" type="noConversion"/>
  </si>
  <si>
    <t>250kHz~10MHz</t>
    <phoneticPr fontId="1" type="noConversion"/>
  </si>
  <si>
    <t xml:space="preserve">T106-26 </t>
    <phoneticPr fontId="1" type="noConversion"/>
  </si>
  <si>
    <t>~100kHz</t>
    <phoneticPr fontId="1" type="noConversion"/>
  </si>
  <si>
    <t>High-Q : 3 ~ 40MHz
Cxx-Fx</t>
    <phoneticPr fontId="1" type="noConversion"/>
  </si>
  <si>
    <t>High-Q : 250KHz ~ 10MHz
Cxx-Ex</t>
    <phoneticPr fontId="1" type="noConversion"/>
  </si>
  <si>
    <t>Test용 Coupler</t>
    <phoneticPr fontId="1" type="noConversion"/>
  </si>
  <si>
    <t>Length</t>
    <phoneticPr fontId="1" type="noConversion"/>
  </si>
  <si>
    <t>Vp[V]</t>
    <phoneticPr fontId="1" type="noConversion"/>
  </si>
  <si>
    <t>P[W]-50</t>
    <phoneticPr fontId="1" type="noConversion"/>
  </si>
  <si>
    <t>P[W]-25</t>
    <phoneticPr fontId="1" type="noConversion"/>
  </si>
  <si>
    <t>Load - 50Ω</t>
    <phoneticPr fontId="1" type="noConversion"/>
  </si>
  <si>
    <t>Load - 25Ω</t>
    <phoneticPr fontId="1" type="noConversion"/>
  </si>
  <si>
    <t>R5025 0.67W - 4ea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</si>
</sst>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0.00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</font>
    <font>
      <b/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>
      <alignment vertical="center"/>
    </xf>
  </cellStyleXfs>
  <cellXfs count="23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176" fontId="0" fillId="0" borderId="2" xfId="0" applyNumberFormat="1" applyBorder="1"/>
    <xf numFmtId="2" fontId="0" fillId="2" borderId="2" xfId="0" applyNumberForma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176" fontId="0" fillId="0" borderId="4" xfId="0" applyNumberFormat="1" applyBorder="1"/>
    <xf numFmtId="2" fontId="0" fillId="2" borderId="4" xfId="0" applyNumberFormat="1" applyFill="1" applyBorder="1"/>
    <xf numFmtId="2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1" xfId="0" applyBorder="1"/>
    <xf numFmtId="0" fontId="0" fillId="2" borderId="1" xfId="0" applyFill="1" applyBorder="1"/>
    <xf numFmtId="0" fontId="0" fillId="0" borderId="7" xfId="0" applyBorder="1"/>
    <xf numFmtId="0" fontId="2" fillId="0" borderId="0" xfId="0" applyFont="1"/>
    <xf numFmtId="0" fontId="0" fillId="0" borderId="3" xfId="0" applyBorder="1"/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9" xfId="0" applyBorder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0" xfId="0" applyBorder="1"/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3" xfId="0" applyFont="1" applyBorder="1"/>
    <xf numFmtId="0" fontId="2" fillId="0" borderId="8" xfId="0" applyFont="1" applyBorder="1"/>
    <xf numFmtId="2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" fontId="0" fillId="0" borderId="9" xfId="0" applyNumberFormat="1" applyBorder="1"/>
    <xf numFmtId="0" fontId="2" fillId="3" borderId="10" xfId="0" applyFont="1" applyFill="1" applyBorder="1" applyAlignment="1">
      <alignment horizontal="center"/>
    </xf>
    <xf numFmtId="0" fontId="0" fillId="0" borderId="2" xfId="0" quotePrefix="1" applyBorder="1" applyAlignment="1">
      <alignment horizontal="right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9" xfId="0" applyFont="1" applyBorder="1" applyAlignment="1">
      <alignment horizontal="center"/>
    </xf>
    <xf numFmtId="0" fontId="2" fillId="0" borderId="15" xfId="0" applyFont="1" applyBorder="1"/>
    <xf numFmtId="0" fontId="3" fillId="0" borderId="16" xfId="0" applyFont="1" applyFill="1" applyBorder="1" applyAlignment="1">
      <alignment horizontal="center"/>
    </xf>
    <xf numFmtId="0" fontId="2" fillId="0" borderId="6" xfId="0" applyFont="1" applyFill="1" applyBorder="1"/>
    <xf numFmtId="176" fontId="0" fillId="0" borderId="9" xfId="0" applyNumberFormat="1" applyBorder="1"/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176" fontId="0" fillId="0" borderId="5" xfId="0" applyNumberFormat="1" applyBorder="1"/>
    <xf numFmtId="0" fontId="0" fillId="4" borderId="8" xfId="0" applyFill="1" applyBorder="1"/>
    <xf numFmtId="176" fontId="0" fillId="4" borderId="2" xfId="0" applyNumberFormat="1" applyFill="1" applyBorder="1"/>
    <xf numFmtId="176" fontId="0" fillId="4" borderId="9" xfId="0" applyNumberFormat="1" applyFill="1" applyBorder="1"/>
    <xf numFmtId="2" fontId="0" fillId="4" borderId="8" xfId="0" applyNumberFormat="1" applyFill="1" applyBorder="1"/>
    <xf numFmtId="2" fontId="0" fillId="4" borderId="2" xfId="0" applyNumberFormat="1" applyFill="1" applyBorder="1"/>
    <xf numFmtId="176" fontId="0" fillId="0" borderId="1" xfId="0" applyNumberFormat="1" applyBorder="1"/>
    <xf numFmtId="176" fontId="0" fillId="0" borderId="7" xfId="0" applyNumberFormat="1" applyBorder="1"/>
    <xf numFmtId="2" fontId="0" fillId="0" borderId="6" xfId="0" applyNumberFormat="1" applyBorder="1"/>
    <xf numFmtId="0" fontId="2" fillId="4" borderId="13" xfId="0" applyFont="1" applyFill="1" applyBorder="1" applyAlignment="1">
      <alignment horizontal="center"/>
    </xf>
    <xf numFmtId="0" fontId="0" fillId="0" borderId="21" xfId="0" applyBorder="1"/>
    <xf numFmtId="0" fontId="0" fillId="4" borderId="23" xfId="0" applyFill="1" applyBorder="1"/>
    <xf numFmtId="0" fontId="0" fillId="0" borderId="23" xfId="0" applyBorder="1"/>
    <xf numFmtId="0" fontId="0" fillId="0" borderId="22" xfId="0" applyBorder="1"/>
    <xf numFmtId="0" fontId="0" fillId="4" borderId="2" xfId="0" applyFill="1" applyBorder="1"/>
    <xf numFmtId="176" fontId="0" fillId="0" borderId="8" xfId="0" applyNumberFormat="1" applyBorder="1"/>
    <xf numFmtId="0" fontId="3" fillId="0" borderId="9" xfId="0" applyFont="1" applyBorder="1"/>
    <xf numFmtId="2" fontId="0" fillId="4" borderId="1" xfId="0" applyNumberFormat="1" applyFill="1" applyBorder="1"/>
    <xf numFmtId="0" fontId="3" fillId="0" borderId="7" xfId="0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0" fontId="2" fillId="3" borderId="2" xfId="0" quotePrefix="1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25" xfId="0" applyFont="1" applyBorder="1"/>
    <xf numFmtId="0" fontId="2" fillId="0" borderId="2" xfId="0" applyFont="1" applyBorder="1"/>
    <xf numFmtId="0" fontId="2" fillId="3" borderId="26" xfId="0" applyFont="1" applyFill="1" applyBorder="1" applyAlignment="1">
      <alignment horizontal="center"/>
    </xf>
    <xf numFmtId="2" fontId="0" fillId="0" borderId="21" xfId="0" applyNumberFormat="1" applyBorder="1"/>
    <xf numFmtId="177" fontId="0" fillId="0" borderId="27" xfId="0" applyNumberFormat="1" applyBorder="1"/>
    <xf numFmtId="177" fontId="0" fillId="0" borderId="4" xfId="0" applyNumberFormat="1" applyBorder="1"/>
    <xf numFmtId="176" fontId="0" fillId="0" borderId="23" xfId="0" applyNumberFormat="1" applyBorder="1"/>
    <xf numFmtId="177" fontId="0" fillId="0" borderId="25" xfId="0" applyNumberFormat="1" applyBorder="1"/>
    <xf numFmtId="177" fontId="0" fillId="0" borderId="2" xfId="0" applyNumberFormat="1" applyBorder="1"/>
    <xf numFmtId="2" fontId="0" fillId="0" borderId="28" xfId="0" applyNumberFormat="1" applyBorder="1"/>
    <xf numFmtId="176" fontId="0" fillId="0" borderId="29" xfId="0" applyNumberFormat="1" applyBorder="1"/>
    <xf numFmtId="177" fontId="0" fillId="0" borderId="26" xfId="0" applyNumberFormat="1" applyBorder="1"/>
    <xf numFmtId="177" fontId="0" fillId="0" borderId="1" xfId="0" applyNumberFormat="1" applyBorder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2" fillId="3" borderId="17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76" fontId="0" fillId="0" borderId="24" xfId="0" applyNumberFormat="1" applyBorder="1"/>
    <xf numFmtId="177" fontId="0" fillId="0" borderId="5" xfId="0" applyNumberFormat="1" applyBorder="1"/>
    <xf numFmtId="176" fontId="0" fillId="0" borderId="25" xfId="0" applyNumberFormat="1" applyBorder="1"/>
    <xf numFmtId="177" fontId="0" fillId="0" borderId="9" xfId="0" applyNumberFormat="1" applyBorder="1"/>
    <xf numFmtId="176" fontId="0" fillId="0" borderId="26" xfId="0" applyNumberFormat="1" applyBorder="1"/>
    <xf numFmtId="177" fontId="0" fillId="0" borderId="7" xfId="0" applyNumberFormat="1" applyBorder="1"/>
    <xf numFmtId="0" fontId="6" fillId="3" borderId="31" xfId="0" applyFont="1" applyFill="1" applyBorder="1" applyAlignment="1">
      <alignment horizontal="center"/>
    </xf>
    <xf numFmtId="0" fontId="0" fillId="0" borderId="32" xfId="0" applyBorder="1"/>
    <xf numFmtId="0" fontId="6" fillId="3" borderId="33" xfId="0" applyFont="1" applyFill="1" applyBorder="1" applyAlignment="1">
      <alignment horizontal="center"/>
    </xf>
    <xf numFmtId="0" fontId="0" fillId="0" borderId="34" xfId="0" applyBorder="1"/>
    <xf numFmtId="0" fontId="9" fillId="3" borderId="35" xfId="0" applyFont="1" applyFill="1" applyBorder="1" applyAlignment="1">
      <alignment horizontal="center"/>
    </xf>
    <xf numFmtId="0" fontId="0" fillId="0" borderId="36" xfId="0" applyBorder="1"/>
    <xf numFmtId="0" fontId="4" fillId="0" borderId="0" xfId="0" applyFont="1" applyAlignment="1">
      <alignment horizontal="left"/>
    </xf>
    <xf numFmtId="0" fontId="6" fillId="3" borderId="35" xfId="0" applyFont="1" applyFill="1" applyBorder="1" applyAlignment="1">
      <alignment horizontal="center"/>
    </xf>
    <xf numFmtId="176" fontId="0" fillId="0" borderId="18" xfId="0" applyNumberFormat="1" applyBorder="1"/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2" fontId="0" fillId="0" borderId="24" xfId="0" applyNumberFormat="1" applyBorder="1"/>
    <xf numFmtId="177" fontId="0" fillId="0" borderId="3" xfId="0" applyNumberFormat="1" applyBorder="1"/>
    <xf numFmtId="0" fontId="0" fillId="5" borderId="2" xfId="0" applyFill="1" applyBorder="1"/>
    <xf numFmtId="41" fontId="0" fillId="0" borderId="4" xfId="1" applyFont="1" applyBorder="1" applyAlignment="1"/>
    <xf numFmtId="41" fontId="0" fillId="0" borderId="1" xfId="1" applyFont="1" applyBorder="1" applyAlignment="1"/>
    <xf numFmtId="41" fontId="0" fillId="0" borderId="23" xfId="1" applyFont="1" applyBorder="1" applyAlignment="1"/>
    <xf numFmtId="41" fontId="0" fillId="0" borderId="2" xfId="1" applyFont="1" applyBorder="1" applyAlignment="1"/>
    <xf numFmtId="41" fontId="0" fillId="0" borderId="18" xfId="1" applyFont="1" applyBorder="1" applyAlignment="1"/>
    <xf numFmtId="41" fontId="0" fillId="0" borderId="5" xfId="1" applyFont="1" applyBorder="1" applyAlignment="1"/>
    <xf numFmtId="41" fontId="0" fillId="0" borderId="7" xfId="1" applyFont="1" applyBorder="1" applyAlignment="1"/>
    <xf numFmtId="41" fontId="0" fillId="0" borderId="22" xfId="1" applyFont="1" applyBorder="1" applyAlignment="1"/>
    <xf numFmtId="41" fontId="0" fillId="0" borderId="9" xfId="1" applyFont="1" applyBorder="1" applyAlignment="1"/>
    <xf numFmtId="41" fontId="0" fillId="0" borderId="16" xfId="1" applyFont="1" applyBorder="1" applyAlignment="1"/>
    <xf numFmtId="176" fontId="0" fillId="0" borderId="2" xfId="0" applyNumberFormat="1" applyFill="1" applyBorder="1"/>
    <xf numFmtId="0" fontId="0" fillId="0" borderId="2" xfId="0" applyFill="1" applyBorder="1"/>
    <xf numFmtId="0" fontId="2" fillId="0" borderId="3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176" fontId="0" fillId="0" borderId="1" xfId="0" applyNumberFormat="1" applyFill="1" applyBorder="1"/>
    <xf numFmtId="0" fontId="0" fillId="0" borderId="1" xfId="0" applyFill="1" applyBorder="1"/>
    <xf numFmtId="176" fontId="0" fillId="0" borderId="4" xfId="0" applyNumberFormat="1" applyFill="1" applyBorder="1"/>
    <xf numFmtId="0" fontId="0" fillId="0" borderId="4" xfId="0" applyFill="1" applyBorder="1"/>
    <xf numFmtId="0" fontId="2" fillId="0" borderId="8" xfId="0" applyFont="1" applyFill="1" applyBorder="1" applyAlignment="1">
      <alignment horizontal="right"/>
    </xf>
    <xf numFmtId="176" fontId="0" fillId="5" borderId="23" xfId="0" applyNumberFormat="1" applyFill="1" applyBorder="1"/>
    <xf numFmtId="0" fontId="0" fillId="5" borderId="23" xfId="0" applyFill="1" applyBorder="1"/>
    <xf numFmtId="41" fontId="0" fillId="5" borderId="23" xfId="1" applyFont="1" applyFill="1" applyBorder="1" applyAlignment="1"/>
    <xf numFmtId="41" fontId="0" fillId="5" borderId="22" xfId="1" applyFont="1" applyFill="1" applyBorder="1" applyAlignment="1"/>
    <xf numFmtId="176" fontId="0" fillId="5" borderId="1" xfId="0" applyNumberFormat="1" applyFill="1" applyBorder="1"/>
    <xf numFmtId="0" fontId="0" fillId="5" borderId="1" xfId="0" applyFill="1" applyBorder="1"/>
    <xf numFmtId="41" fontId="0" fillId="5" borderId="1" xfId="1" applyFont="1" applyFill="1" applyBorder="1" applyAlignment="1"/>
    <xf numFmtId="41" fontId="0" fillId="5" borderId="7" xfId="1" applyFont="1" applyFill="1" applyBorder="1" applyAlignment="1"/>
    <xf numFmtId="2" fontId="0" fillId="5" borderId="1" xfId="0" applyNumberFormat="1" applyFill="1" applyBorder="1"/>
    <xf numFmtId="176" fontId="0" fillId="5" borderId="2" xfId="0" applyNumberFormat="1" applyFill="1" applyBorder="1"/>
    <xf numFmtId="41" fontId="0" fillId="5" borderId="2" xfId="1" applyFont="1" applyFill="1" applyBorder="1" applyAlignment="1"/>
    <xf numFmtId="41" fontId="0" fillId="5" borderId="9" xfId="1" applyFont="1" applyFill="1" applyBorder="1" applyAlignment="1"/>
    <xf numFmtId="2" fontId="0" fillId="5" borderId="23" xfId="0" applyNumberFormat="1" applyFill="1" applyBorder="1"/>
    <xf numFmtId="2" fontId="0" fillId="0" borderId="18" xfId="0" applyNumberFormat="1" applyBorder="1"/>
    <xf numFmtId="2" fontId="0" fillId="5" borderId="2" xfId="0" applyNumberFormat="1" applyFill="1" applyBorder="1"/>
    <xf numFmtId="2" fontId="0" fillId="0" borderId="23" xfId="0" applyNumberFormat="1" applyBorder="1"/>
    <xf numFmtId="0" fontId="2" fillId="3" borderId="39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2" fontId="0" fillId="4" borderId="21" xfId="0" applyNumberFormat="1" applyFill="1" applyBorder="1"/>
    <xf numFmtId="176" fontId="0" fillId="4" borderId="23" xfId="0" applyNumberFormat="1" applyFill="1" applyBorder="1"/>
    <xf numFmtId="177" fontId="0" fillId="4" borderId="25" xfId="0" applyNumberFormat="1" applyFill="1" applyBorder="1"/>
    <xf numFmtId="177" fontId="0" fillId="4" borderId="2" xfId="0" applyNumberForma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4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176" fontId="0" fillId="4" borderId="25" xfId="0" applyNumberFormat="1" applyFill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gif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2</xdr:row>
      <xdr:rowOff>91440</xdr:rowOff>
    </xdr:from>
    <xdr:to>
      <xdr:col>8</xdr:col>
      <xdr:colOff>260350</xdr:colOff>
      <xdr:row>18</xdr:row>
      <xdr:rowOff>111836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C00FF4-4D38-4227-B020-9EE82A1C3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780" y="533400"/>
          <a:ext cx="2523490" cy="3571316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2</xdr:row>
      <xdr:rowOff>198120</xdr:rowOff>
    </xdr:from>
    <xdr:to>
      <xdr:col>12</xdr:col>
      <xdr:colOff>56310</xdr:colOff>
      <xdr:row>12</xdr:row>
      <xdr:rowOff>182480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13B9009-9B36-410C-BC63-3913E587C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2420" y="640080"/>
          <a:ext cx="2167050" cy="220178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</xdr:row>
      <xdr:rowOff>30480</xdr:rowOff>
    </xdr:from>
    <xdr:to>
      <xdr:col>15</xdr:col>
      <xdr:colOff>643103</xdr:colOff>
      <xdr:row>12</xdr:row>
      <xdr:rowOff>140084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AA0469-5CAC-4216-9167-15C4A7486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2260" y="701040"/>
          <a:ext cx="2235683" cy="2098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640080</xdr:colOff>
      <xdr:row>21</xdr:row>
      <xdr:rowOff>91440</xdr:rowOff>
    </xdr:from>
    <xdr:to>
      <xdr:col>7</xdr:col>
      <xdr:colOff>495300</xdr:colOff>
      <xdr:row>29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BAEE317-0D3E-4687-A466-67F73115D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848100"/>
          <a:ext cx="454914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68580</xdr:colOff>
      <xdr:row>21</xdr:row>
      <xdr:rowOff>33536</xdr:rowOff>
    </xdr:from>
    <xdr:to>
      <xdr:col>15</xdr:col>
      <xdr:colOff>228600</xdr:colOff>
      <xdr:row>36</xdr:row>
      <xdr:rowOff>102933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E45E795-1500-4FB5-A1D6-22A81690C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3790196"/>
          <a:ext cx="4183380" cy="3384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106680</xdr:colOff>
      <xdr:row>1</xdr:row>
      <xdr:rowOff>91440</xdr:rowOff>
    </xdr:from>
    <xdr:to>
      <xdr:col>8</xdr:col>
      <xdr:colOff>449580</xdr:colOff>
      <xdr:row>9</xdr:row>
      <xdr:rowOff>30480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DAE93DD-40A8-46FE-BD50-092DB82C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312420"/>
          <a:ext cx="5036820" cy="170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68580</xdr:colOff>
      <xdr:row>1</xdr:row>
      <xdr:rowOff>7620</xdr:rowOff>
    </xdr:from>
    <xdr:to>
      <xdr:col>15</xdr:col>
      <xdr:colOff>312420</xdr:colOff>
      <xdr:row>16</xdr:row>
      <xdr:rowOff>165018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4C0D9CB-B86C-4D89-BEEF-4607A34F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228600"/>
          <a:ext cx="4267200" cy="3472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121920</xdr:colOff>
      <xdr:row>10</xdr:row>
      <xdr:rowOff>22860</xdr:rowOff>
    </xdr:from>
    <xdr:to>
      <xdr:col>8</xdr:col>
      <xdr:colOff>502920</xdr:colOff>
      <xdr:row>17</xdr:row>
      <xdr:rowOff>137160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67E34E5-CFE1-43E5-825C-766628537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232660"/>
          <a:ext cx="5074920" cy="166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26</xdr:row>
      <xdr:rowOff>22860</xdr:rowOff>
    </xdr:from>
    <xdr:to>
      <xdr:col>11</xdr:col>
      <xdr:colOff>137160</xdr:colOff>
      <xdr:row>43</xdr:row>
      <xdr:rowOff>7620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23EAB1-0155-461C-B925-FD80141FA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5859780"/>
          <a:ext cx="7467600" cy="3741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175259</xdr:colOff>
      <xdr:row>23</xdr:row>
      <xdr:rowOff>22860</xdr:rowOff>
    </xdr:from>
    <xdr:to>
      <xdr:col>10</xdr:col>
      <xdr:colOff>522754</xdr:colOff>
      <xdr:row>26</xdr:row>
      <xdr:rowOff>160020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1DD5DAD-01A6-4862-9EEB-3FACE298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599" y="5158740"/>
          <a:ext cx="1688615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4</xdr:row>
      <xdr:rowOff>144780</xdr:rowOff>
    </xdr:from>
    <xdr:to>
      <xdr:col>28</xdr:col>
      <xdr:colOff>80497</xdr:colOff>
      <xdr:row>29</xdr:row>
      <xdr:rowOff>897</xdr:rowOff>
    </xdr:to>
    <xdr:pic>
      <xdr:nvPicPr>
        <xdr:cNvPr id="3" name="그림 2" descr="SWR 브리지의 회로도">
          <a:extLst>
            <a:ext uri="{FF2B5EF4-FFF2-40B4-BE49-F238E27FC236}">
              <a16:creationId xmlns:a16="http://schemas.microsoft.com/office/drawing/2014/main" id="{7365134C-E7D0-4F04-96E1-B4D2DF26C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028700"/>
          <a:ext cx="6001237" cy="544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365760</xdr:colOff>
      <xdr:row>29</xdr:row>
      <xdr:rowOff>167640</xdr:rowOff>
    </xdr:from>
    <xdr:to>
      <xdr:col>21</xdr:col>
      <xdr:colOff>205740</xdr:colOff>
      <xdr:row>38</xdr:row>
      <xdr:rowOff>60960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B331E7E-9A3E-4158-8B20-06B667DF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6644640"/>
          <a:ext cx="1851660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53</xdr:row>
      <xdr:rowOff>45720</xdr:rowOff>
    </xdr:from>
    <xdr:to>
      <xdr:col>16</xdr:col>
      <xdr:colOff>342900</xdr:colOff>
      <xdr:row>59</xdr:row>
      <xdr:rowOff>184938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AA5A5AB-B7C9-4C99-A863-4E8A3473C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1871960"/>
          <a:ext cx="4732020" cy="1480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53</xdr:row>
      <xdr:rowOff>53340</xdr:rowOff>
    </xdr:from>
    <xdr:to>
      <xdr:col>19</xdr:col>
      <xdr:colOff>449580</xdr:colOff>
      <xdr:row>56</xdr:row>
      <xdr:rowOff>67705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022D036-26ED-4888-9FD0-643B9DC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4620" y="11879580"/>
          <a:ext cx="1775460" cy="67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</xdr:row>
      <xdr:rowOff>60960</xdr:rowOff>
    </xdr:from>
    <xdr:to>
      <xdr:col>18</xdr:col>
      <xdr:colOff>289560</xdr:colOff>
      <xdr:row>20</xdr:row>
      <xdr:rowOff>38100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41386DCA-9CB2-4716-B4E4-B5F138905995}"/>
            </a:ext>
          </a:extLst>
        </xdr:cNvPr>
        <xdr:cNvGrpSpPr/>
      </xdr:nvGrpSpPr>
      <xdr:grpSpPr>
        <a:xfrm>
          <a:off x="6644640" y="281940"/>
          <a:ext cx="5715000" cy="4175760"/>
          <a:chOff x="6644640" y="281940"/>
          <a:chExt cx="5715000" cy="417576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551F1338-CCEB-4997-8A31-26DEE3C7E3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44640" y="281940"/>
            <a:ext cx="5715000" cy="41757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841EFDC-8B8D-4D6A-B0BE-82D0E8912E57}"/>
              </a:ext>
            </a:extLst>
          </xdr:cNvPr>
          <xdr:cNvSpPr txBox="1"/>
        </xdr:nvSpPr>
        <xdr:spPr>
          <a:xfrm>
            <a:off x="9204960" y="4091940"/>
            <a:ext cx="107600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600" b="1">
                <a:solidFill>
                  <a:srgbClr val="FF0000"/>
                </a:solidFill>
              </a:rPr>
              <a:t>YS 120V80</a:t>
            </a:r>
            <a:endParaRPr lang="ko-KR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640080</xdr:colOff>
      <xdr:row>0</xdr:row>
      <xdr:rowOff>213360</xdr:rowOff>
    </xdr:from>
    <xdr:to>
      <xdr:col>9</xdr:col>
      <xdr:colOff>320040</xdr:colOff>
      <xdr:row>20</xdr:row>
      <xdr:rowOff>15126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FD27348B-8D78-4648-9D18-D146199F26F4}"/>
            </a:ext>
          </a:extLst>
        </xdr:cNvPr>
        <xdr:cNvGrpSpPr/>
      </xdr:nvGrpSpPr>
      <xdr:grpSpPr>
        <a:xfrm>
          <a:off x="640080" y="213360"/>
          <a:ext cx="5715000" cy="4221366"/>
          <a:chOff x="640080" y="213360"/>
          <a:chExt cx="5715000" cy="4221366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6ACC054C-8C0E-4B00-9F86-FE5322D71C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0080" y="213360"/>
            <a:ext cx="5715000" cy="41757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6BDD4B0-6CA4-4C04-99CE-60F36ED901C9}"/>
              </a:ext>
            </a:extLst>
          </xdr:cNvPr>
          <xdr:cNvSpPr txBox="1"/>
        </xdr:nvSpPr>
        <xdr:spPr>
          <a:xfrm>
            <a:off x="2933700" y="4091940"/>
            <a:ext cx="107600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600" b="1">
                <a:solidFill>
                  <a:srgbClr val="FF0000"/>
                </a:solidFill>
              </a:rPr>
              <a:t>YS 84V84A</a:t>
            </a:r>
            <a:endParaRPr lang="ko-KR" altLang="en-US" sz="16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11701</xdr:colOff>
      <xdr:row>14</xdr:row>
      <xdr:rowOff>66</xdr:rowOff>
    </xdr:from>
    <xdr:to>
      <xdr:col>52</xdr:col>
      <xdr:colOff>167162</xdr:colOff>
      <xdr:row>26</xdr:row>
      <xdr:rowOff>7686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2F6DFEE7-5E93-4ED4-8492-63A6F47C4948}"/>
            </a:ext>
          </a:extLst>
        </xdr:cNvPr>
        <xdr:cNvGrpSpPr/>
      </xdr:nvGrpSpPr>
      <xdr:grpSpPr>
        <a:xfrm flipH="1">
          <a:off x="7936501" y="3048066"/>
          <a:ext cx="6948147" cy="2620191"/>
          <a:chOff x="1853754" y="881334"/>
          <a:chExt cx="6993582" cy="2631551"/>
        </a:xfrm>
      </xdr:grpSpPr>
      <xdr:sp macro="" textlink="">
        <xdr:nvSpPr>
          <xdr:cNvPr id="2" name="직사각형 1">
            <a:extLst>
              <a:ext uri="{FF2B5EF4-FFF2-40B4-BE49-F238E27FC236}">
                <a16:creationId xmlns:a16="http://schemas.microsoft.com/office/drawing/2014/main" id="{504FDA70-D8A8-4BA5-A81E-6B6F78699300}"/>
              </a:ext>
            </a:extLst>
          </xdr:cNvPr>
          <xdr:cNvSpPr/>
        </xdr:nvSpPr>
        <xdr:spPr>
          <a:xfrm>
            <a:off x="1983850" y="881334"/>
            <a:ext cx="6815262" cy="263155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>
                <a:solidFill>
                  <a:srgbClr val="FF0000"/>
                </a:solidFill>
              </a:rPr>
              <a:t>RF</a:t>
            </a:r>
            <a:r>
              <a:rPr lang="en-US" altLang="ko-KR" sz="1600" baseline="0">
                <a:solidFill>
                  <a:srgbClr val="FF0000"/>
                </a:solidFill>
              </a:rPr>
              <a:t> PCB</a:t>
            </a:r>
            <a:endParaRPr lang="ko-KR" altLang="en-US" sz="1600">
              <a:solidFill>
                <a:srgbClr val="FF0000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F8D0EE79-6EB9-4828-AD71-C75A25F7DC4A}"/>
              </a:ext>
            </a:extLst>
          </xdr:cNvPr>
          <xdr:cNvSpPr/>
        </xdr:nvSpPr>
        <xdr:spPr>
          <a:xfrm>
            <a:off x="1853754" y="1090233"/>
            <a:ext cx="563153" cy="55562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8F9B2C0-5A00-4E09-8C98-3C941758F19E}"/>
              </a:ext>
            </a:extLst>
          </xdr:cNvPr>
          <xdr:cNvSpPr/>
        </xdr:nvSpPr>
        <xdr:spPr>
          <a:xfrm>
            <a:off x="1909510" y="1753003"/>
            <a:ext cx="259644" cy="222379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55F321F6-28B6-4202-B86F-23CB56B301F8}"/>
              </a:ext>
            </a:extLst>
          </xdr:cNvPr>
          <xdr:cNvSpPr/>
        </xdr:nvSpPr>
        <xdr:spPr>
          <a:xfrm>
            <a:off x="1909510" y="2197760"/>
            <a:ext cx="259644" cy="22237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D51965D6-ED8D-40FC-A5F4-2E8C49846F44}"/>
              </a:ext>
            </a:extLst>
          </xdr:cNvPr>
          <xdr:cNvSpPr/>
        </xdr:nvSpPr>
        <xdr:spPr>
          <a:xfrm>
            <a:off x="1909510" y="2594841"/>
            <a:ext cx="259644" cy="166621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6699BB21-A8AF-4F49-BC73-1EDA3ACA7EA0}"/>
              </a:ext>
            </a:extLst>
          </xdr:cNvPr>
          <xdr:cNvSpPr/>
        </xdr:nvSpPr>
        <xdr:spPr>
          <a:xfrm>
            <a:off x="1909510" y="2842591"/>
            <a:ext cx="259644" cy="167269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6B5F01F6-7D8A-4236-A627-DC720BA2C399}"/>
              </a:ext>
            </a:extLst>
          </xdr:cNvPr>
          <xdr:cNvSpPr/>
        </xdr:nvSpPr>
        <xdr:spPr>
          <a:xfrm>
            <a:off x="1916944" y="3109575"/>
            <a:ext cx="259644" cy="167269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31D4D396-1B94-4A12-82E5-BCA9691CAC0C}"/>
              </a:ext>
            </a:extLst>
          </xdr:cNvPr>
          <xdr:cNvSpPr/>
        </xdr:nvSpPr>
        <xdr:spPr>
          <a:xfrm>
            <a:off x="8587692" y="2860964"/>
            <a:ext cx="259644" cy="222378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28</xdr:col>
      <xdr:colOff>63892</xdr:colOff>
      <xdr:row>27</xdr:row>
      <xdr:rowOff>8991</xdr:rowOff>
    </xdr:from>
    <xdr:to>
      <xdr:col>52</xdr:col>
      <xdr:colOff>43543</xdr:colOff>
      <xdr:row>38</xdr:row>
      <xdr:rowOff>15619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F23F6B2-E0EF-419E-B4FE-A09758B91D88}"/>
            </a:ext>
          </a:extLst>
        </xdr:cNvPr>
        <xdr:cNvSpPr/>
      </xdr:nvSpPr>
      <xdr:spPr>
        <a:xfrm>
          <a:off x="7988692" y="5887277"/>
          <a:ext cx="6772337" cy="24014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aseline="0">
              <a:solidFill>
                <a:srgbClr val="FF0000"/>
              </a:solidFill>
            </a:rPr>
            <a:t>PWR PCB</a:t>
          </a:r>
          <a:endParaRPr lang="ko-KR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86137</xdr:colOff>
      <xdr:row>1</xdr:row>
      <xdr:rowOff>112642</xdr:rowOff>
    </xdr:from>
    <xdr:to>
      <xdr:col>40</xdr:col>
      <xdr:colOff>79513</xdr:colOff>
      <xdr:row>12</xdr:row>
      <xdr:rowOff>119270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6020AE2D-B858-4A30-B864-A8F7B0F8CD49}"/>
            </a:ext>
          </a:extLst>
        </xdr:cNvPr>
        <xdr:cNvSpPr/>
      </xdr:nvSpPr>
      <xdr:spPr>
        <a:xfrm>
          <a:off x="8063946" y="331303"/>
          <a:ext cx="3412437" cy="241189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aseline="0">
              <a:solidFill>
                <a:srgbClr val="FF0000"/>
              </a:solidFill>
            </a:rPr>
            <a:t>Matcher</a:t>
          </a:r>
          <a:endParaRPr lang="ko-KR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94184</xdr:colOff>
      <xdr:row>27</xdr:row>
      <xdr:rowOff>8990</xdr:rowOff>
    </xdr:from>
    <xdr:to>
      <xdr:col>40</xdr:col>
      <xdr:colOff>87560</xdr:colOff>
      <xdr:row>38</xdr:row>
      <xdr:rowOff>15618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3055DF2-00D3-4D65-BEF1-80A4BE146A0A}"/>
            </a:ext>
          </a:extLst>
        </xdr:cNvPr>
        <xdr:cNvGrpSpPr/>
      </xdr:nvGrpSpPr>
      <xdr:grpSpPr>
        <a:xfrm>
          <a:off x="8018984" y="5887276"/>
          <a:ext cx="3389719" cy="2401485"/>
          <a:chOff x="3022441" y="237591"/>
          <a:chExt cx="3389719" cy="240148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E7B7360-8D23-40A2-A45B-B0B649DF4A42}"/>
              </a:ext>
            </a:extLst>
          </xdr:cNvPr>
          <xdr:cNvSpPr/>
        </xdr:nvSpPr>
        <xdr:spPr>
          <a:xfrm>
            <a:off x="3022441" y="237591"/>
            <a:ext cx="3389719" cy="240148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aseline="0">
                <a:solidFill>
                  <a:srgbClr val="FF0000"/>
                </a:solidFill>
              </a:rPr>
              <a:t>CPU PCB</a:t>
            </a:r>
            <a:endParaRPr lang="ko-KR" altLang="en-US" sz="1600">
              <a:solidFill>
                <a:srgbClr val="FF0000"/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5A39232A-AB8D-428C-A205-EE8184A82AB0}"/>
              </a:ext>
            </a:extLst>
          </xdr:cNvPr>
          <xdr:cNvSpPr/>
        </xdr:nvSpPr>
        <xdr:spPr>
          <a:xfrm>
            <a:off x="3963834" y="2404452"/>
            <a:ext cx="902030" cy="170451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DC1DD7D3-04CD-471F-A101-875D52BC846C}"/>
              </a:ext>
            </a:extLst>
          </xdr:cNvPr>
          <xdr:cNvSpPr/>
        </xdr:nvSpPr>
        <xdr:spPr>
          <a:xfrm>
            <a:off x="3291533" y="2409708"/>
            <a:ext cx="627292" cy="170451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8944-1DD3-4862-BDDC-9A77D51BDC62}">
  <dimension ref="B3:C13"/>
  <sheetViews>
    <sheetView workbookViewId="0">
      <selection activeCell="B19" sqref="B19"/>
    </sheetView>
  </sheetViews>
  <sheetFormatPr defaultRowHeight="17.399999999999999" x14ac:dyDescent="0.4"/>
  <cols>
    <col min="2" max="2" width="23.09765625" bestFit="1" customWidth="1"/>
    <col min="3" max="3" width="20.69921875" bestFit="1" customWidth="1"/>
  </cols>
  <sheetData>
    <row r="3" spans="2:3" ht="18" thickBot="1" x14ac:dyDescent="0.45">
      <c r="B3" t="s">
        <v>103</v>
      </c>
    </row>
    <row r="4" spans="2:3" x14ac:dyDescent="0.4">
      <c r="B4" s="52" t="s">
        <v>86</v>
      </c>
      <c r="C4" s="10" t="s">
        <v>85</v>
      </c>
    </row>
    <row r="5" spans="2:3" x14ac:dyDescent="0.4">
      <c r="B5" s="53" t="s">
        <v>87</v>
      </c>
      <c r="C5" s="19" t="s">
        <v>84</v>
      </c>
    </row>
    <row r="6" spans="2:3" x14ac:dyDescent="0.4">
      <c r="B6" s="54" t="s">
        <v>88</v>
      </c>
      <c r="C6" s="55" t="s">
        <v>91</v>
      </c>
    </row>
    <row r="7" spans="2:3" x14ac:dyDescent="0.4">
      <c r="B7" s="54" t="s">
        <v>89</v>
      </c>
      <c r="C7" s="56" t="s">
        <v>92</v>
      </c>
    </row>
    <row r="8" spans="2:3" x14ac:dyDescent="0.4">
      <c r="B8" s="54" t="s">
        <v>90</v>
      </c>
      <c r="C8" s="55" t="s">
        <v>93</v>
      </c>
    </row>
    <row r="9" spans="2:3" x14ac:dyDescent="0.4">
      <c r="B9" s="54" t="s">
        <v>99</v>
      </c>
      <c r="C9" s="55" t="s">
        <v>94</v>
      </c>
    </row>
    <row r="10" spans="2:3" x14ac:dyDescent="0.4">
      <c r="B10" s="54" t="s">
        <v>100</v>
      </c>
      <c r="C10" s="55" t="s">
        <v>95</v>
      </c>
    </row>
    <row r="11" spans="2:3" x14ac:dyDescent="0.4">
      <c r="B11" s="54" t="s">
        <v>101</v>
      </c>
      <c r="C11" s="55" t="s">
        <v>96</v>
      </c>
    </row>
    <row r="12" spans="2:3" x14ac:dyDescent="0.4">
      <c r="B12" s="54" t="s">
        <v>102</v>
      </c>
      <c r="C12" s="55" t="s">
        <v>97</v>
      </c>
    </row>
    <row r="13" spans="2:3" ht="18" thickBot="1" x14ac:dyDescent="0.45">
      <c r="B13" s="57" t="s">
        <v>104</v>
      </c>
      <c r="C13" s="58" t="s">
        <v>98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8205-CB24-40A4-B1DB-1E717F036B7A}">
  <dimension ref="A1:AD21"/>
  <sheetViews>
    <sheetView tabSelected="1" zoomScale="70" zoomScaleNormal="70" workbookViewId="0">
      <selection activeCell="O13" sqref="O13"/>
    </sheetView>
  </sheetViews>
  <sheetFormatPr defaultColWidth="3.69921875" defaultRowHeight="17.399999999999999" x14ac:dyDescent="0.4"/>
  <sheetData>
    <row r="1" spans="1:3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4">
      <c r="A2">
        <v>1</v>
      </c>
    </row>
    <row r="3" spans="1:30" x14ac:dyDescent="0.4">
      <c r="A3">
        <v>2</v>
      </c>
    </row>
    <row r="4" spans="1:30" x14ac:dyDescent="0.4">
      <c r="A4">
        <v>3</v>
      </c>
    </row>
    <row r="5" spans="1:30" x14ac:dyDescent="0.4">
      <c r="A5">
        <v>4</v>
      </c>
    </row>
    <row r="6" spans="1:30" x14ac:dyDescent="0.4">
      <c r="A6">
        <v>5</v>
      </c>
    </row>
    <row r="7" spans="1:30" x14ac:dyDescent="0.4">
      <c r="A7">
        <v>6</v>
      </c>
    </row>
    <row r="8" spans="1:30" x14ac:dyDescent="0.4">
      <c r="A8">
        <v>7</v>
      </c>
    </row>
    <row r="9" spans="1:30" x14ac:dyDescent="0.4">
      <c r="A9">
        <v>8</v>
      </c>
    </row>
    <row r="10" spans="1:30" x14ac:dyDescent="0.4">
      <c r="A10">
        <v>9</v>
      </c>
    </row>
    <row r="11" spans="1:30" x14ac:dyDescent="0.4">
      <c r="A11">
        <v>10</v>
      </c>
    </row>
    <row r="12" spans="1:30" x14ac:dyDescent="0.4">
      <c r="A12">
        <v>11</v>
      </c>
    </row>
    <row r="13" spans="1:30" x14ac:dyDescent="0.4">
      <c r="A13">
        <v>12</v>
      </c>
    </row>
    <row r="14" spans="1:30" x14ac:dyDescent="0.4">
      <c r="A14">
        <v>13</v>
      </c>
    </row>
    <row r="15" spans="1:30" x14ac:dyDescent="0.4">
      <c r="A15">
        <v>14</v>
      </c>
    </row>
    <row r="16" spans="1:30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19"/>
  <sheetViews>
    <sheetView topLeftCell="B1" workbookViewId="0">
      <selection activeCell="E17" sqref="E17"/>
    </sheetView>
  </sheetViews>
  <sheetFormatPr defaultRowHeight="17.399999999999999" x14ac:dyDescent="0.4"/>
  <sheetData>
    <row r="2" spans="3:21" ht="18" thickBot="1" x14ac:dyDescent="0.45"/>
    <row r="3" spans="3:21" x14ac:dyDescent="0.4">
      <c r="C3" s="181" t="s">
        <v>0</v>
      </c>
      <c r="D3" s="182"/>
      <c r="E3" s="182" t="s">
        <v>7</v>
      </c>
      <c r="F3" s="182"/>
      <c r="G3" s="182"/>
      <c r="H3" s="182"/>
      <c r="I3" s="182"/>
      <c r="J3" s="182" t="s">
        <v>12</v>
      </c>
      <c r="K3" s="182"/>
      <c r="L3" s="182"/>
      <c r="M3" s="182" t="s">
        <v>14</v>
      </c>
      <c r="N3" s="182"/>
      <c r="O3" s="182" t="s">
        <v>3</v>
      </c>
      <c r="P3" s="182"/>
      <c r="Q3" s="182"/>
      <c r="R3" s="182"/>
      <c r="S3" s="182"/>
      <c r="T3" s="9"/>
      <c r="U3" s="10"/>
    </row>
    <row r="4" spans="3:21" s="1" customFormat="1" ht="18" thickBot="1" x14ac:dyDescent="0.45">
      <c r="C4" s="11" t="s">
        <v>1</v>
      </c>
      <c r="D4" s="3" t="s">
        <v>2</v>
      </c>
      <c r="E4" s="3" t="s">
        <v>8</v>
      </c>
      <c r="F4" s="3" t="s">
        <v>9</v>
      </c>
      <c r="G4" s="3" t="s">
        <v>6</v>
      </c>
      <c r="H4" s="12" t="s">
        <v>1</v>
      </c>
      <c r="I4" s="12" t="s">
        <v>2</v>
      </c>
      <c r="J4" s="3" t="s">
        <v>13</v>
      </c>
      <c r="K4" s="3" t="s">
        <v>1</v>
      </c>
      <c r="L4" s="3" t="s">
        <v>2</v>
      </c>
      <c r="M4" s="3" t="s">
        <v>1</v>
      </c>
      <c r="N4" s="3" t="s">
        <v>2</v>
      </c>
      <c r="O4" s="3" t="s">
        <v>4</v>
      </c>
      <c r="P4" s="3" t="s">
        <v>5</v>
      </c>
      <c r="Q4" s="3" t="s">
        <v>6</v>
      </c>
      <c r="R4" s="3" t="s">
        <v>1</v>
      </c>
      <c r="S4" s="3" t="s">
        <v>2</v>
      </c>
      <c r="T4" s="2" t="s">
        <v>10</v>
      </c>
      <c r="U4" s="13" t="s">
        <v>11</v>
      </c>
    </row>
    <row r="5" spans="3:21" x14ac:dyDescent="0.4">
      <c r="C5" s="14">
        <v>0.6</v>
      </c>
      <c r="D5" s="15">
        <f>C5/2*0.707</f>
        <v>0.21209999999999998</v>
      </c>
      <c r="E5" s="9">
        <v>4990</v>
      </c>
      <c r="F5" s="9">
        <v>1000</v>
      </c>
      <c r="G5" s="16">
        <f>1+E5/F5</f>
        <v>5.99</v>
      </c>
      <c r="H5" s="17">
        <f>C5*G5</f>
        <v>3.5939999999999999</v>
      </c>
      <c r="I5" s="17">
        <f>H5/2*0.707</f>
        <v>1.2704789999999999</v>
      </c>
      <c r="J5" s="9">
        <v>6</v>
      </c>
      <c r="K5" s="9">
        <f>H5/2</f>
        <v>1.7969999999999999</v>
      </c>
      <c r="L5" s="15">
        <f t="shared" ref="L5:L6" si="0">K5/2*0.707</f>
        <v>0.63523949999999996</v>
      </c>
      <c r="M5" s="15"/>
      <c r="N5" s="15"/>
      <c r="O5" s="9">
        <v>680</v>
      </c>
      <c r="P5" s="9">
        <v>680</v>
      </c>
      <c r="Q5" s="16">
        <f>1+O5/P5</f>
        <v>2</v>
      </c>
      <c r="R5" s="15">
        <f>H5*Q5</f>
        <v>7.1879999999999997</v>
      </c>
      <c r="S5" s="15">
        <f>R5/2*0.707</f>
        <v>2.5409579999999998</v>
      </c>
      <c r="T5" s="9">
        <f>R5/2</f>
        <v>3.5939999999999999</v>
      </c>
      <c r="U5" s="10">
        <f>R5/2</f>
        <v>3.5939999999999999</v>
      </c>
    </row>
    <row r="6" spans="3:21" x14ac:dyDescent="0.4">
      <c r="C6" s="18">
        <v>0.6</v>
      </c>
      <c r="D6" s="5">
        <f>C6/2*0.707</f>
        <v>0.21209999999999998</v>
      </c>
      <c r="E6" s="4">
        <v>470</v>
      </c>
      <c r="F6" s="4">
        <v>47</v>
      </c>
      <c r="G6" s="6">
        <f>1+E6/F6</f>
        <v>11</v>
      </c>
      <c r="H6" s="7">
        <f>C6*G6</f>
        <v>6.6</v>
      </c>
      <c r="I6" s="7">
        <f>H6/2*0.707</f>
        <v>2.3331</v>
      </c>
      <c r="J6" s="4">
        <v>6</v>
      </c>
      <c r="K6" s="4">
        <f>H6/2</f>
        <v>3.3</v>
      </c>
      <c r="L6" s="5">
        <f t="shared" si="0"/>
        <v>1.16655</v>
      </c>
      <c r="M6" s="5">
        <v>2.8</v>
      </c>
      <c r="N6" s="5">
        <f>M6/2*0.707</f>
        <v>0.9897999999999999</v>
      </c>
      <c r="O6" s="4">
        <v>680</v>
      </c>
      <c r="P6" s="4">
        <v>100</v>
      </c>
      <c r="Q6" s="6">
        <f>1+O6/P6</f>
        <v>7.8</v>
      </c>
      <c r="R6" s="5">
        <f>M6*Q6</f>
        <v>21.84</v>
      </c>
      <c r="S6" s="5">
        <f>R6/2*0.707</f>
        <v>7.72044</v>
      </c>
      <c r="T6" s="4">
        <f>R6/2</f>
        <v>10.92</v>
      </c>
      <c r="U6" s="19">
        <f>R6/2</f>
        <v>10.92</v>
      </c>
    </row>
    <row r="7" spans="3:21" x14ac:dyDescent="0.4">
      <c r="C7" s="20"/>
      <c r="D7" s="4"/>
      <c r="E7" s="4"/>
      <c r="F7" s="4"/>
      <c r="G7" s="4"/>
      <c r="H7" s="8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9"/>
    </row>
    <row r="8" spans="3:21" x14ac:dyDescent="0.4">
      <c r="C8" s="20"/>
      <c r="D8" s="4"/>
      <c r="E8" s="4"/>
      <c r="F8" s="4"/>
      <c r="G8" s="4"/>
      <c r="H8" s="8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9"/>
    </row>
    <row r="9" spans="3:21" x14ac:dyDescent="0.4">
      <c r="C9" s="20"/>
      <c r="D9" s="4"/>
      <c r="E9" s="4"/>
      <c r="F9" s="4"/>
      <c r="G9" s="4"/>
      <c r="H9" s="8"/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9"/>
    </row>
    <row r="10" spans="3:21" x14ac:dyDescent="0.4">
      <c r="C10" s="20"/>
      <c r="D10" s="4"/>
      <c r="E10" s="4"/>
      <c r="F10" s="4"/>
      <c r="G10" s="4"/>
      <c r="H10" s="8"/>
      <c r="I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9"/>
    </row>
    <row r="11" spans="3:21" x14ac:dyDescent="0.4">
      <c r="C11" s="20"/>
      <c r="D11" s="4"/>
      <c r="E11" s="4"/>
      <c r="F11" s="4"/>
      <c r="G11" s="4"/>
      <c r="H11" s="8"/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9"/>
    </row>
    <row r="12" spans="3:21" x14ac:dyDescent="0.4">
      <c r="C12" s="20"/>
      <c r="D12" s="4"/>
      <c r="E12" s="4"/>
      <c r="F12" s="4"/>
      <c r="G12" s="4"/>
      <c r="H12" s="8"/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9"/>
    </row>
    <row r="13" spans="3:21" ht="18" thickBot="1" x14ac:dyDescent="0.45">
      <c r="C13" s="21"/>
      <c r="D13" s="22"/>
      <c r="E13" s="22"/>
      <c r="F13" s="22"/>
      <c r="G13" s="22"/>
      <c r="H13" s="23"/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</row>
    <row r="17" spans="10:12" x14ac:dyDescent="0.4">
      <c r="J17">
        <v>9750</v>
      </c>
      <c r="K17">
        <v>9850</v>
      </c>
    </row>
    <row r="18" spans="10:12" x14ac:dyDescent="0.4">
      <c r="J18">
        <f>J17/60</f>
        <v>162.5</v>
      </c>
      <c r="K18">
        <f>K17/60</f>
        <v>164.16666666666666</v>
      </c>
      <c r="L18">
        <f>J18+K18</f>
        <v>326.66666666666663</v>
      </c>
    </row>
    <row r="19" spans="10:12" x14ac:dyDescent="0.4">
      <c r="J19">
        <f>J18/60</f>
        <v>2.7083333333333335</v>
      </c>
      <c r="K19">
        <f>K18/60</f>
        <v>2.7361111111111112</v>
      </c>
      <c r="L19">
        <f>L18/60</f>
        <v>5.4444444444444438</v>
      </c>
    </row>
  </sheetData>
  <mergeCells count="5">
    <mergeCell ref="C3:D3"/>
    <mergeCell ref="O3:S3"/>
    <mergeCell ref="E3:I3"/>
    <mergeCell ref="J3:L3"/>
    <mergeCell ref="M3:N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D7DD-8414-41E8-843E-C5EC298E4A24}">
  <dimension ref="B3:P23"/>
  <sheetViews>
    <sheetView workbookViewId="0">
      <selection activeCell="G12" sqref="G12"/>
    </sheetView>
  </sheetViews>
  <sheetFormatPr defaultRowHeight="17.399999999999999" x14ac:dyDescent="0.4"/>
  <cols>
    <col min="2" max="2" width="10.296875" bestFit="1" customWidth="1"/>
    <col min="10" max="10" width="11.296875" customWidth="1"/>
  </cols>
  <sheetData>
    <row r="3" spans="2:16" ht="18" thickBot="1" x14ac:dyDescent="0.45">
      <c r="B3" s="25" t="s">
        <v>23</v>
      </c>
      <c r="H3" t="s">
        <v>48</v>
      </c>
    </row>
    <row r="4" spans="2:16" x14ac:dyDescent="0.4">
      <c r="B4" s="26" t="s">
        <v>40</v>
      </c>
      <c r="C4" s="9">
        <v>300</v>
      </c>
      <c r="D4" s="9">
        <v>600</v>
      </c>
      <c r="E4" s="9">
        <v>600</v>
      </c>
      <c r="F4" s="10" t="s">
        <v>24</v>
      </c>
      <c r="H4" t="s">
        <v>25</v>
      </c>
      <c r="I4">
        <v>12</v>
      </c>
      <c r="J4">
        <v>12</v>
      </c>
    </row>
    <row r="5" spans="2:16" x14ac:dyDescent="0.4">
      <c r="B5" s="20" t="s">
        <v>41</v>
      </c>
      <c r="C5" s="4">
        <v>48</v>
      </c>
      <c r="D5" s="4">
        <v>48</v>
      </c>
      <c r="E5" s="4">
        <v>48</v>
      </c>
      <c r="F5" s="19" t="s">
        <v>25</v>
      </c>
      <c r="H5" t="s">
        <v>51</v>
      </c>
      <c r="I5">
        <v>1.9</v>
      </c>
      <c r="J5">
        <v>1.9</v>
      </c>
    </row>
    <row r="6" spans="2:16" x14ac:dyDescent="0.4">
      <c r="B6" s="20" t="s">
        <v>42</v>
      </c>
      <c r="C6" s="4">
        <f>C4/C5</f>
        <v>6.25</v>
      </c>
      <c r="D6" s="4">
        <f>D4/D5</f>
        <v>12.5</v>
      </c>
      <c r="E6" s="4">
        <f>E4/E5</f>
        <v>12.5</v>
      </c>
      <c r="F6" s="19" t="s">
        <v>26</v>
      </c>
      <c r="H6" t="s">
        <v>49</v>
      </c>
      <c r="I6">
        <v>2</v>
      </c>
      <c r="J6">
        <v>10</v>
      </c>
    </row>
    <row r="7" spans="2:16" x14ac:dyDescent="0.4">
      <c r="B7" s="20" t="s">
        <v>43</v>
      </c>
      <c r="C7" s="4">
        <v>3</v>
      </c>
      <c r="D7" s="4">
        <v>3</v>
      </c>
      <c r="E7" s="4">
        <v>7</v>
      </c>
      <c r="F7" s="19" t="s">
        <v>26</v>
      </c>
      <c r="H7" t="s">
        <v>50</v>
      </c>
      <c r="I7">
        <f>(I4-I5)/I6</f>
        <v>5.05</v>
      </c>
      <c r="J7">
        <f>(J4-J5)/J6</f>
        <v>1.01</v>
      </c>
    </row>
    <row r="8" spans="2:16" ht="18" thickBot="1" x14ac:dyDescent="0.45">
      <c r="B8" s="21" t="s">
        <v>44</v>
      </c>
      <c r="C8" s="51">
        <f>C6/C7</f>
        <v>2.0833333333333335</v>
      </c>
      <c r="D8" s="51">
        <f>D6/D7</f>
        <v>4.166666666666667</v>
      </c>
      <c r="E8" s="51">
        <f>E6/E7</f>
        <v>1.7857142857142858</v>
      </c>
      <c r="F8" s="24" t="s">
        <v>47</v>
      </c>
    </row>
    <row r="9" spans="2:16" x14ac:dyDescent="0.4">
      <c r="N9" t="s">
        <v>19</v>
      </c>
      <c r="O9">
        <v>75</v>
      </c>
      <c r="P9">
        <v>50</v>
      </c>
    </row>
    <row r="10" spans="2:16" ht="18" thickBot="1" x14ac:dyDescent="0.45">
      <c r="B10" s="25" t="s">
        <v>21</v>
      </c>
      <c r="N10" t="s">
        <v>20</v>
      </c>
      <c r="O10">
        <f>O9/4096</f>
        <v>1.8310546875E-2</v>
      </c>
      <c r="P10">
        <f>P9/4096</f>
        <v>1.220703125E-2</v>
      </c>
    </row>
    <row r="11" spans="2:16" ht="18" thickBot="1" x14ac:dyDescent="0.45">
      <c r="B11" s="43"/>
      <c r="C11" s="44"/>
      <c r="D11" s="44"/>
      <c r="E11" s="45" t="s">
        <v>46</v>
      </c>
    </row>
    <row r="12" spans="2:16" x14ac:dyDescent="0.4">
      <c r="B12" s="49" t="s">
        <v>22</v>
      </c>
      <c r="C12" s="9">
        <v>9</v>
      </c>
      <c r="D12" s="9">
        <v>9</v>
      </c>
      <c r="E12" s="46" t="s">
        <v>25</v>
      </c>
    </row>
    <row r="13" spans="2:16" x14ac:dyDescent="0.4">
      <c r="B13" s="50" t="s">
        <v>17</v>
      </c>
      <c r="C13" s="4">
        <v>1000</v>
      </c>
      <c r="D13" s="4">
        <v>1000</v>
      </c>
      <c r="E13" s="47" t="s">
        <v>45</v>
      </c>
    </row>
    <row r="14" spans="2:16" ht="18" thickBot="1" x14ac:dyDescent="0.45">
      <c r="B14" s="50" t="s">
        <v>15</v>
      </c>
      <c r="C14" s="4">
        <v>1000</v>
      </c>
      <c r="D14" s="4">
        <v>1000</v>
      </c>
      <c r="E14" s="47" t="s">
        <v>45</v>
      </c>
      <c r="J14" s="25" t="s">
        <v>27</v>
      </c>
    </row>
    <row r="15" spans="2:16" ht="18" thickBot="1" x14ac:dyDescent="0.45">
      <c r="B15" s="50" t="s">
        <v>16</v>
      </c>
      <c r="C15" s="4">
        <v>1000</v>
      </c>
      <c r="D15" s="4">
        <v>1000</v>
      </c>
      <c r="E15" s="47" t="s">
        <v>45</v>
      </c>
      <c r="J15" s="187"/>
      <c r="K15" s="188"/>
      <c r="L15" s="27" t="s">
        <v>28</v>
      </c>
      <c r="M15" s="28" t="s">
        <v>29</v>
      </c>
      <c r="N15" s="28" t="s">
        <v>30</v>
      </c>
      <c r="O15" s="29" t="s">
        <v>31</v>
      </c>
    </row>
    <row r="16" spans="2:16" x14ac:dyDescent="0.4">
      <c r="B16" s="65" t="s">
        <v>18</v>
      </c>
      <c r="C16" s="32">
        <f>C12*C15/(C13+C14+C15)</f>
        <v>3</v>
      </c>
      <c r="D16" s="32">
        <f>D12*D15/(D13+D14+D15)</f>
        <v>3</v>
      </c>
      <c r="E16" s="66" t="s">
        <v>25</v>
      </c>
      <c r="J16" s="181" t="s">
        <v>32</v>
      </c>
      <c r="K16" s="189"/>
      <c r="L16" s="30">
        <v>300</v>
      </c>
      <c r="M16" s="9">
        <v>3</v>
      </c>
      <c r="N16" s="9">
        <v>16</v>
      </c>
      <c r="O16" s="10">
        <f t="shared" ref="O16:O23" si="0">M16*N16</f>
        <v>48</v>
      </c>
    </row>
    <row r="17" spans="2:15" ht="18" thickBot="1" x14ac:dyDescent="0.45">
      <c r="B17" s="67" t="s">
        <v>108</v>
      </c>
      <c r="C17" s="22">
        <f>C16*C16/C15</f>
        <v>8.9999999999999993E-3</v>
      </c>
      <c r="D17" s="22">
        <f>D16*D16/D15</f>
        <v>8.9999999999999993E-3</v>
      </c>
      <c r="E17" s="48" t="s">
        <v>109</v>
      </c>
      <c r="J17" s="190" t="s">
        <v>33</v>
      </c>
      <c r="K17" s="191"/>
      <c r="L17" s="31">
        <v>300</v>
      </c>
      <c r="M17" s="32">
        <v>3</v>
      </c>
      <c r="N17" s="32">
        <v>16</v>
      </c>
      <c r="O17" s="33">
        <f t="shared" si="0"/>
        <v>48</v>
      </c>
    </row>
    <row r="18" spans="2:15" x14ac:dyDescent="0.4">
      <c r="J18" s="181" t="s">
        <v>34</v>
      </c>
      <c r="K18" s="189"/>
      <c r="L18" s="34">
        <v>600</v>
      </c>
      <c r="M18" s="35">
        <v>9</v>
      </c>
      <c r="N18" s="35">
        <v>6</v>
      </c>
      <c r="O18" s="36">
        <f t="shared" si="0"/>
        <v>54</v>
      </c>
    </row>
    <row r="19" spans="2:15" ht="18" thickBot="1" x14ac:dyDescent="0.45">
      <c r="J19" s="185" t="s">
        <v>35</v>
      </c>
      <c r="K19" s="186"/>
      <c r="L19" s="37">
        <v>250</v>
      </c>
      <c r="M19" s="38">
        <v>7</v>
      </c>
      <c r="N19" s="38">
        <v>2</v>
      </c>
      <c r="O19" s="39">
        <f t="shared" si="0"/>
        <v>14</v>
      </c>
    </row>
    <row r="20" spans="2:15" x14ac:dyDescent="0.4">
      <c r="J20" s="181" t="s">
        <v>36</v>
      </c>
      <c r="K20" s="189"/>
      <c r="L20" s="30">
        <v>300</v>
      </c>
      <c r="M20" s="35">
        <v>30</v>
      </c>
      <c r="N20" s="35">
        <v>1</v>
      </c>
      <c r="O20" s="36">
        <f t="shared" si="0"/>
        <v>30</v>
      </c>
    </row>
    <row r="21" spans="2:15" x14ac:dyDescent="0.4">
      <c r="J21" s="183" t="s">
        <v>37</v>
      </c>
      <c r="K21" s="184"/>
      <c r="L21" s="40">
        <v>250</v>
      </c>
      <c r="M21" s="41">
        <v>18</v>
      </c>
      <c r="N21" s="41">
        <v>1</v>
      </c>
      <c r="O21" s="42">
        <f t="shared" si="0"/>
        <v>18</v>
      </c>
    </row>
    <row r="22" spans="2:15" ht="18" thickBot="1" x14ac:dyDescent="0.45">
      <c r="J22" s="185" t="s">
        <v>38</v>
      </c>
      <c r="K22" s="186"/>
      <c r="L22" s="37">
        <v>250</v>
      </c>
      <c r="M22" s="38">
        <v>10</v>
      </c>
      <c r="N22" s="38">
        <v>1</v>
      </c>
      <c r="O22" s="39">
        <f t="shared" si="0"/>
        <v>10</v>
      </c>
    </row>
    <row r="23" spans="2:15" x14ac:dyDescent="0.4">
      <c r="J23" s="183" t="s">
        <v>39</v>
      </c>
      <c r="K23" s="184"/>
      <c r="L23" s="40">
        <v>250</v>
      </c>
      <c r="M23" s="41">
        <v>3</v>
      </c>
      <c r="N23" s="41">
        <v>2</v>
      </c>
      <c r="O23" s="42">
        <f t="shared" si="0"/>
        <v>6</v>
      </c>
    </row>
  </sheetData>
  <mergeCells count="9">
    <mergeCell ref="J21:K21"/>
    <mergeCell ref="J22:K22"/>
    <mergeCell ref="J23:K23"/>
    <mergeCell ref="J15:K15"/>
    <mergeCell ref="J16:K16"/>
    <mergeCell ref="J17:K17"/>
    <mergeCell ref="J18:K18"/>
    <mergeCell ref="J19:K19"/>
    <mergeCell ref="J20:K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F555-CC04-4DAB-A263-75B8E2721462}">
  <dimension ref="B1:B21"/>
  <sheetViews>
    <sheetView workbookViewId="0">
      <selection activeCell="R13" sqref="R13"/>
    </sheetView>
  </sheetViews>
  <sheetFormatPr defaultRowHeight="17.399999999999999" x14ac:dyDescent="0.4"/>
  <cols>
    <col min="2" max="2" width="8.796875" style="25"/>
  </cols>
  <sheetData>
    <row r="1" spans="2:2" x14ac:dyDescent="0.4">
      <c r="B1" s="25" t="s">
        <v>111</v>
      </c>
    </row>
    <row r="21" spans="2:2" x14ac:dyDescent="0.4">
      <c r="B21" s="25" t="s">
        <v>110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961D-83CC-4EC4-BB04-62E2CC41561E}">
  <dimension ref="B1:Q67"/>
  <sheetViews>
    <sheetView workbookViewId="0">
      <selection activeCell="K10" sqref="K10"/>
    </sheetView>
  </sheetViews>
  <sheetFormatPr defaultRowHeight="17.399999999999999" x14ac:dyDescent="0.4"/>
  <cols>
    <col min="1" max="2" width="5.09765625" customWidth="1"/>
    <col min="3" max="3" width="11" customWidth="1"/>
    <col min="4" max="4" width="26.796875" customWidth="1"/>
    <col min="5" max="16" width="8.69921875" customWidth="1"/>
  </cols>
  <sheetData>
    <row r="1" spans="2:17" ht="18" thickBot="1" x14ac:dyDescent="0.45">
      <c r="B1" s="25" t="s">
        <v>184</v>
      </c>
    </row>
    <row r="2" spans="2:17" x14ac:dyDescent="0.4">
      <c r="C2" s="210" t="s">
        <v>176</v>
      </c>
      <c r="D2" s="208" t="s">
        <v>175</v>
      </c>
      <c r="E2" s="207" t="s">
        <v>173</v>
      </c>
      <c r="F2" s="207"/>
      <c r="G2" s="207"/>
      <c r="H2" s="208" t="s">
        <v>55</v>
      </c>
      <c r="I2" s="213" t="s">
        <v>171</v>
      </c>
      <c r="J2" s="194" t="s">
        <v>169</v>
      </c>
      <c r="K2" s="195"/>
      <c r="L2" s="195"/>
      <c r="M2" s="196"/>
      <c r="N2" s="207" t="s">
        <v>170</v>
      </c>
      <c r="O2" s="207"/>
      <c r="P2" s="212"/>
    </row>
    <row r="3" spans="2:17" s="25" customFormat="1" ht="18" thickBot="1" x14ac:dyDescent="0.45">
      <c r="C3" s="211"/>
      <c r="D3" s="209"/>
      <c r="E3" s="73" t="s">
        <v>52</v>
      </c>
      <c r="F3" s="73" t="s">
        <v>53</v>
      </c>
      <c r="G3" s="73" t="s">
        <v>54</v>
      </c>
      <c r="H3" s="209"/>
      <c r="I3" s="209"/>
      <c r="J3" s="73" t="s">
        <v>58</v>
      </c>
      <c r="K3" s="73" t="s">
        <v>56</v>
      </c>
      <c r="L3" s="73" t="s">
        <v>57</v>
      </c>
      <c r="M3" s="73" t="s">
        <v>200</v>
      </c>
      <c r="N3" s="73" t="s">
        <v>56</v>
      </c>
      <c r="O3" s="73" t="s">
        <v>58</v>
      </c>
      <c r="P3" s="74" t="s">
        <v>57</v>
      </c>
    </row>
    <row r="4" spans="2:17" x14ac:dyDescent="0.4">
      <c r="C4" s="131" t="s">
        <v>172</v>
      </c>
      <c r="D4" s="200" t="s">
        <v>182</v>
      </c>
      <c r="E4" s="16">
        <v>29</v>
      </c>
      <c r="F4" s="16">
        <v>19</v>
      </c>
      <c r="G4" s="16">
        <v>7.5</v>
      </c>
      <c r="H4" s="9">
        <v>75</v>
      </c>
      <c r="I4" s="9">
        <v>27.12</v>
      </c>
      <c r="J4" s="9">
        <v>25</v>
      </c>
      <c r="K4" s="15">
        <f t="shared" ref="K4:K25" si="0">(H4*J4^2)/1000</f>
        <v>46.875</v>
      </c>
      <c r="L4" s="139">
        <f>2*3.14*I4*10^6*K4*10^(-6)</f>
        <v>7983.45</v>
      </c>
      <c r="M4" s="139">
        <f>(E4-F4+G4*2)</f>
        <v>25</v>
      </c>
      <c r="N4" s="9">
        <v>20</v>
      </c>
      <c r="O4" s="16">
        <f t="shared" ref="O4:O25" si="1">(N4*1000/H4)^0.5</f>
        <v>16.329931618554522</v>
      </c>
      <c r="P4" s="144">
        <f>2*3.14*I4*10^6*N4*10^(-6)</f>
        <v>3406.2719999999999</v>
      </c>
    </row>
    <row r="5" spans="2:17" ht="18" thickBot="1" x14ac:dyDescent="0.45">
      <c r="C5" s="132" t="s">
        <v>177</v>
      </c>
      <c r="D5" s="201"/>
      <c r="E5" s="81">
        <v>21</v>
      </c>
      <c r="F5" s="81">
        <v>13.2</v>
      </c>
      <c r="G5" s="81">
        <v>6.35</v>
      </c>
      <c r="H5" s="22">
        <v>79</v>
      </c>
      <c r="I5" s="22">
        <v>27.12</v>
      </c>
      <c r="J5" s="22">
        <v>25</v>
      </c>
      <c r="K5" s="51">
        <f t="shared" si="0"/>
        <v>49.375</v>
      </c>
      <c r="L5" s="140">
        <f t="shared" ref="L5" si="2">2*3.14*I5*10^6*K5*10^(-6)</f>
        <v>8409.2340000000004</v>
      </c>
      <c r="M5" s="140"/>
      <c r="N5" s="22">
        <v>20</v>
      </c>
      <c r="O5" s="81">
        <f t="shared" si="1"/>
        <v>15.911145683514601</v>
      </c>
      <c r="P5" s="145">
        <f t="shared" ref="P5" si="3">2*3.14*I5*10^6*N5*10^(-6)</f>
        <v>3406.2719999999999</v>
      </c>
    </row>
    <row r="6" spans="2:17" ht="17.399999999999999" customHeight="1" x14ac:dyDescent="0.4">
      <c r="C6" s="133" t="s">
        <v>59</v>
      </c>
      <c r="D6" s="202" t="s">
        <v>183</v>
      </c>
      <c r="E6" s="158">
        <v>35.549999999999997</v>
      </c>
      <c r="F6" s="158">
        <v>23</v>
      </c>
      <c r="G6" s="158">
        <v>12.7</v>
      </c>
      <c r="H6" s="159">
        <v>885</v>
      </c>
      <c r="I6" s="159">
        <v>13.56</v>
      </c>
      <c r="J6" s="159">
        <v>5</v>
      </c>
      <c r="K6" s="170">
        <f t="shared" si="0"/>
        <v>22.125</v>
      </c>
      <c r="L6" s="160">
        <f>2*3.14*I6*10^6*K6*10^(-6)</f>
        <v>1884.0942</v>
      </c>
      <c r="M6" s="160"/>
      <c r="N6" s="159">
        <v>20</v>
      </c>
      <c r="O6" s="158">
        <f t="shared" si="1"/>
        <v>4.7538268854152834</v>
      </c>
      <c r="P6" s="161">
        <f>2*3.14*I6*10^6*N6*10^(-6)</f>
        <v>1703.136</v>
      </c>
    </row>
    <row r="7" spans="2:17" x14ac:dyDescent="0.4">
      <c r="C7" s="134" t="s">
        <v>130</v>
      </c>
      <c r="D7" s="203"/>
      <c r="E7" s="6">
        <v>29</v>
      </c>
      <c r="F7" s="6">
        <v>19</v>
      </c>
      <c r="G7" s="6">
        <v>7.5</v>
      </c>
      <c r="H7" s="4">
        <v>510</v>
      </c>
      <c r="I7" s="4">
        <v>27.12</v>
      </c>
      <c r="J7" s="4">
        <v>25</v>
      </c>
      <c r="K7" s="5">
        <f t="shared" si="0"/>
        <v>318.75</v>
      </c>
      <c r="L7" s="142">
        <f>2*3.14*I7*10^6*K7*10^(-6)</f>
        <v>54287.46</v>
      </c>
      <c r="M7" s="142"/>
      <c r="N7" s="4">
        <v>20</v>
      </c>
      <c r="O7" s="6">
        <f t="shared" si="1"/>
        <v>6.2622429108514952</v>
      </c>
      <c r="P7" s="147">
        <f>2*3.14*I7*10^6*N7*10^(-6)</f>
        <v>3406.2719999999999</v>
      </c>
    </row>
    <row r="8" spans="2:17" x14ac:dyDescent="0.4">
      <c r="C8" s="134" t="s">
        <v>130</v>
      </c>
      <c r="D8" s="203"/>
      <c r="E8" s="6">
        <v>29</v>
      </c>
      <c r="F8" s="6">
        <v>19</v>
      </c>
      <c r="G8" s="6">
        <v>7.5</v>
      </c>
      <c r="H8" s="4">
        <v>510</v>
      </c>
      <c r="I8" s="138">
        <v>13.56</v>
      </c>
      <c r="J8" s="4">
        <v>25</v>
      </c>
      <c r="K8" s="5">
        <f t="shared" si="0"/>
        <v>318.75</v>
      </c>
      <c r="L8" s="142">
        <f>2*3.14*I8*10^6*K8*10^(-6)</f>
        <v>27143.73</v>
      </c>
      <c r="M8" s="142"/>
      <c r="N8" s="4">
        <v>20</v>
      </c>
      <c r="O8" s="6">
        <f t="shared" si="1"/>
        <v>6.2622429108514952</v>
      </c>
      <c r="P8" s="147">
        <f>2*3.14*I8*10^6*N8*10^(-6)</f>
        <v>1703.136</v>
      </c>
    </row>
    <row r="9" spans="2:17" x14ac:dyDescent="0.4">
      <c r="C9" s="134" t="s">
        <v>130</v>
      </c>
      <c r="D9" s="203"/>
      <c r="E9" s="6">
        <v>29</v>
      </c>
      <c r="F9" s="6">
        <v>19</v>
      </c>
      <c r="G9" s="6">
        <v>7.5</v>
      </c>
      <c r="H9" s="4">
        <v>510</v>
      </c>
      <c r="I9" s="138">
        <v>1</v>
      </c>
      <c r="J9" s="4">
        <v>25</v>
      </c>
      <c r="K9" s="5">
        <f t="shared" si="0"/>
        <v>318.75</v>
      </c>
      <c r="L9" s="142">
        <f>2*3.14*I9*10^6*K9*10^(-6)</f>
        <v>2001.75</v>
      </c>
      <c r="M9" s="142"/>
      <c r="N9" s="4">
        <v>20</v>
      </c>
      <c r="O9" s="6">
        <f t="shared" si="1"/>
        <v>6.2622429108514952</v>
      </c>
      <c r="P9" s="147">
        <f>2*3.14*I9*10^6*N9*10^(-6)</f>
        <v>125.6</v>
      </c>
      <c r="Q9" t="s">
        <v>199</v>
      </c>
    </row>
    <row r="10" spans="2:17" ht="18" thickBot="1" x14ac:dyDescent="0.45">
      <c r="C10" s="135" t="s">
        <v>61</v>
      </c>
      <c r="D10" s="203"/>
      <c r="E10" s="130">
        <v>21</v>
      </c>
      <c r="F10" s="130">
        <v>13.2</v>
      </c>
      <c r="G10" s="130">
        <v>6.35</v>
      </c>
      <c r="H10" s="32">
        <v>470</v>
      </c>
      <c r="I10" s="32">
        <v>27.12</v>
      </c>
      <c r="J10" s="32">
        <v>25</v>
      </c>
      <c r="K10" s="171">
        <f t="shared" si="0"/>
        <v>293.75</v>
      </c>
      <c r="L10" s="143">
        <f t="shared" ref="L10:L15" si="4">2*3.14*I10*10^6*K10*10^(-6)</f>
        <v>50029.619999999995</v>
      </c>
      <c r="M10" s="143"/>
      <c r="N10" s="32">
        <v>20</v>
      </c>
      <c r="O10" s="130">
        <f t="shared" si="1"/>
        <v>6.523280730534422</v>
      </c>
      <c r="P10" s="148">
        <f t="shared" ref="P10:P15" si="5">2*3.14*I10*10^6*N10*10^(-6)</f>
        <v>3406.2719999999999</v>
      </c>
    </row>
    <row r="11" spans="2:17" x14ac:dyDescent="0.4">
      <c r="C11" s="131" t="s">
        <v>62</v>
      </c>
      <c r="D11" s="204" t="s">
        <v>197</v>
      </c>
      <c r="E11" s="16">
        <v>26.9</v>
      </c>
      <c r="F11" s="16">
        <v>14.5</v>
      </c>
      <c r="G11" s="16">
        <v>11.1</v>
      </c>
      <c r="H11" s="9">
        <v>11.6</v>
      </c>
      <c r="I11" s="9">
        <v>27.12</v>
      </c>
      <c r="J11" s="9">
        <v>25</v>
      </c>
      <c r="K11" s="15">
        <f t="shared" si="0"/>
        <v>7.25</v>
      </c>
      <c r="L11" s="139">
        <f t="shared" si="4"/>
        <v>1234.7736</v>
      </c>
      <c r="M11" s="139"/>
      <c r="N11" s="9">
        <v>1</v>
      </c>
      <c r="O11" s="16">
        <f t="shared" si="1"/>
        <v>9.2847669088525926</v>
      </c>
      <c r="P11" s="144">
        <f t="shared" si="5"/>
        <v>170.31359999999998</v>
      </c>
      <c r="Q11" t="s">
        <v>199</v>
      </c>
    </row>
    <row r="12" spans="2:17" x14ac:dyDescent="0.4">
      <c r="C12" s="134" t="s">
        <v>62</v>
      </c>
      <c r="D12" s="205"/>
      <c r="E12" s="167">
        <v>26.9</v>
      </c>
      <c r="F12" s="167">
        <v>14.5</v>
      </c>
      <c r="G12" s="167">
        <v>11.1</v>
      </c>
      <c r="H12" s="138">
        <v>11.6</v>
      </c>
      <c r="I12" s="138">
        <v>13.56</v>
      </c>
      <c r="J12" s="138">
        <v>9</v>
      </c>
      <c r="K12" s="172">
        <f t="shared" si="0"/>
        <v>0.93959999999999999</v>
      </c>
      <c r="L12" s="168">
        <f t="shared" ref="L12" si="6">2*3.14*I12*10^6*K12*10^(-6)</f>
        <v>80.013329279999994</v>
      </c>
      <c r="M12" s="168"/>
      <c r="N12" s="138">
        <v>1</v>
      </c>
      <c r="O12" s="167">
        <f t="shared" si="1"/>
        <v>9.2847669088525926</v>
      </c>
      <c r="P12" s="169">
        <f t="shared" ref="P12" si="7">2*3.14*I12*10^6*N12*10^(-6)</f>
        <v>85.15679999999999</v>
      </c>
    </row>
    <row r="13" spans="2:17" x14ac:dyDescent="0.4">
      <c r="C13" s="134" t="s">
        <v>174</v>
      </c>
      <c r="D13" s="205"/>
      <c r="E13" s="6">
        <v>23.9</v>
      </c>
      <c r="F13" s="6">
        <v>14.2</v>
      </c>
      <c r="G13" s="6">
        <v>7.92</v>
      </c>
      <c r="H13" s="4">
        <v>7</v>
      </c>
      <c r="I13" s="4">
        <v>27.12</v>
      </c>
      <c r="J13" s="4">
        <v>25</v>
      </c>
      <c r="K13" s="5">
        <f t="shared" si="0"/>
        <v>4.375</v>
      </c>
      <c r="L13" s="142">
        <f t="shared" ref="L13" si="8">2*3.14*I13*10^6*K13*10^(-6)</f>
        <v>745.12199999999996</v>
      </c>
      <c r="M13" s="142"/>
      <c r="N13" s="4">
        <v>1</v>
      </c>
      <c r="O13" s="6">
        <f t="shared" si="1"/>
        <v>11.952286093343936</v>
      </c>
      <c r="P13" s="147">
        <f t="shared" ref="P13" si="9">2*3.14*I13*10^6*N13*10^(-6)</f>
        <v>170.31359999999998</v>
      </c>
    </row>
    <row r="14" spans="2:17" x14ac:dyDescent="0.4">
      <c r="C14" s="134" t="s">
        <v>178</v>
      </c>
      <c r="D14" s="205"/>
      <c r="E14" s="6">
        <v>20.2</v>
      </c>
      <c r="F14" s="6">
        <v>12.6</v>
      </c>
      <c r="G14" s="6">
        <v>6.35</v>
      </c>
      <c r="H14" s="4">
        <v>4.5</v>
      </c>
      <c r="I14" s="4">
        <v>27.12</v>
      </c>
      <c r="J14" s="4">
        <v>25</v>
      </c>
      <c r="K14" s="5">
        <f t="shared" si="0"/>
        <v>2.8125</v>
      </c>
      <c r="L14" s="142">
        <f t="shared" ref="L14" si="10">2*3.14*I14*10^6*K14*10^(-6)</f>
        <v>479.00700000000001</v>
      </c>
      <c r="M14" s="142"/>
      <c r="N14" s="4">
        <v>1</v>
      </c>
      <c r="O14" s="6">
        <f t="shared" si="1"/>
        <v>14.907119849998598</v>
      </c>
      <c r="P14" s="147">
        <f t="shared" ref="P14" si="11">2*3.14*I14*10^6*N14*10^(-6)</f>
        <v>170.31359999999998</v>
      </c>
    </row>
    <row r="15" spans="2:17" ht="18" thickBot="1" x14ac:dyDescent="0.45">
      <c r="C15" s="132" t="s">
        <v>66</v>
      </c>
      <c r="D15" s="206"/>
      <c r="E15" s="162">
        <v>12.7</v>
      </c>
      <c r="F15" s="162">
        <v>7.7</v>
      </c>
      <c r="G15" s="162">
        <v>4.83</v>
      </c>
      <c r="H15" s="163">
        <v>4</v>
      </c>
      <c r="I15" s="163">
        <v>13.56</v>
      </c>
      <c r="J15" s="163">
        <v>7</v>
      </c>
      <c r="K15" s="166">
        <f t="shared" si="0"/>
        <v>0.19600000000000001</v>
      </c>
      <c r="L15" s="164">
        <f t="shared" si="4"/>
        <v>16.690732799999999</v>
      </c>
      <c r="M15" s="164"/>
      <c r="N15" s="163">
        <v>0.2</v>
      </c>
      <c r="O15" s="162">
        <f t="shared" si="1"/>
        <v>7.0710678118654755</v>
      </c>
      <c r="P15" s="165">
        <f t="shared" si="5"/>
        <v>17.031359999999999</v>
      </c>
    </row>
    <row r="16" spans="2:17" x14ac:dyDescent="0.4">
      <c r="C16" s="133" t="s">
        <v>64</v>
      </c>
      <c r="D16" s="203" t="s">
        <v>198</v>
      </c>
      <c r="E16" s="104">
        <v>26.9</v>
      </c>
      <c r="F16" s="104">
        <v>14.5</v>
      </c>
      <c r="G16" s="104">
        <v>11.1</v>
      </c>
      <c r="H16" s="87">
        <v>13.5</v>
      </c>
      <c r="I16" s="87">
        <v>27.12</v>
      </c>
      <c r="J16" s="87">
        <v>25</v>
      </c>
      <c r="K16" s="173">
        <f t="shared" si="0"/>
        <v>8.4375</v>
      </c>
      <c r="L16" s="141">
        <f>2*3.14*I16*10^6*K16*10^(-6)</f>
        <v>1437.021</v>
      </c>
      <c r="M16" s="141"/>
      <c r="N16" s="87">
        <v>1</v>
      </c>
      <c r="O16" s="104">
        <f t="shared" si="1"/>
        <v>8.6066296582387043</v>
      </c>
      <c r="P16" s="146">
        <f>2*3.14*I16*10^6*N16*10^(-6)</f>
        <v>170.31359999999998</v>
      </c>
    </row>
    <row r="17" spans="3:17" x14ac:dyDescent="0.4">
      <c r="C17" s="134" t="s">
        <v>179</v>
      </c>
      <c r="D17" s="203"/>
      <c r="E17" s="6">
        <v>23.9</v>
      </c>
      <c r="F17" s="6">
        <v>14.2</v>
      </c>
      <c r="G17" s="6">
        <v>7.92</v>
      </c>
      <c r="H17" s="4">
        <v>8.4</v>
      </c>
      <c r="I17" s="4">
        <v>27.12</v>
      </c>
      <c r="J17" s="4">
        <v>25</v>
      </c>
      <c r="K17" s="5">
        <f t="shared" si="0"/>
        <v>5.25</v>
      </c>
      <c r="L17" s="142">
        <f t="shared" ref="L17:L20" si="12">2*3.14*I17*10^6*K17*10^(-6)</f>
        <v>894.14639999999997</v>
      </c>
      <c r="M17" s="142"/>
      <c r="N17" s="4">
        <v>1</v>
      </c>
      <c r="O17" s="6">
        <f t="shared" si="1"/>
        <v>10.910894511799619</v>
      </c>
      <c r="P17" s="147">
        <f t="shared" ref="P17:P20" si="13">2*3.14*I17*10^6*N17*10^(-6)</f>
        <v>170.31359999999998</v>
      </c>
    </row>
    <row r="18" spans="3:17" x14ac:dyDescent="0.4">
      <c r="C18" s="134" t="s">
        <v>179</v>
      </c>
      <c r="D18" s="203"/>
      <c r="E18" s="6">
        <v>23.9</v>
      </c>
      <c r="F18" s="6">
        <v>14.2</v>
      </c>
      <c r="G18" s="6">
        <v>7.92</v>
      </c>
      <c r="H18" s="4">
        <v>8.4</v>
      </c>
      <c r="I18" s="4">
        <v>13.56</v>
      </c>
      <c r="J18" s="4">
        <v>25</v>
      </c>
      <c r="K18" s="5">
        <f t="shared" si="0"/>
        <v>5.25</v>
      </c>
      <c r="L18" s="142">
        <f t="shared" ref="L18" si="14">2*3.14*I18*10^6*K18*10^(-6)</f>
        <v>447.07319999999999</v>
      </c>
      <c r="M18" s="142"/>
      <c r="N18" s="4">
        <v>1</v>
      </c>
      <c r="O18" s="6">
        <f t="shared" si="1"/>
        <v>10.910894511799619</v>
      </c>
      <c r="P18" s="147">
        <f t="shared" ref="P18" si="15">2*3.14*I18*10^6*N18*10^(-6)</f>
        <v>85.15679999999999</v>
      </c>
    </row>
    <row r="19" spans="3:17" x14ac:dyDescent="0.4">
      <c r="C19" s="134" t="s">
        <v>180</v>
      </c>
      <c r="D19" s="203"/>
      <c r="E19" s="6">
        <v>20.2</v>
      </c>
      <c r="F19" s="6">
        <v>12.6</v>
      </c>
      <c r="G19" s="6">
        <v>6.35</v>
      </c>
      <c r="H19" s="4">
        <v>5.5</v>
      </c>
      <c r="I19" s="4">
        <v>27.12</v>
      </c>
      <c r="J19" s="4">
        <v>25</v>
      </c>
      <c r="K19" s="5">
        <f t="shared" si="0"/>
        <v>3.4375</v>
      </c>
      <c r="L19" s="142">
        <f t="shared" si="12"/>
        <v>585.45299999999997</v>
      </c>
      <c r="M19" s="142"/>
      <c r="N19" s="4">
        <v>1</v>
      </c>
      <c r="O19" s="6">
        <f t="shared" si="1"/>
        <v>13.483997249264842</v>
      </c>
      <c r="P19" s="147">
        <f t="shared" si="13"/>
        <v>170.31359999999998</v>
      </c>
    </row>
    <row r="20" spans="3:17" ht="18" thickBot="1" x14ac:dyDescent="0.45">
      <c r="C20" s="135" t="s">
        <v>181</v>
      </c>
      <c r="D20" s="203"/>
      <c r="E20" s="130">
        <v>12.7</v>
      </c>
      <c r="F20" s="130">
        <v>7.7</v>
      </c>
      <c r="G20" s="130">
        <v>4.83</v>
      </c>
      <c r="H20" s="32">
        <v>4.9000000000000004</v>
      </c>
      <c r="I20" s="32">
        <v>27.12</v>
      </c>
      <c r="J20" s="32">
        <v>25</v>
      </c>
      <c r="K20" s="171">
        <f t="shared" si="0"/>
        <v>3.0625</v>
      </c>
      <c r="L20" s="143">
        <f t="shared" si="12"/>
        <v>521.58539999999994</v>
      </c>
      <c r="M20" s="143"/>
      <c r="N20" s="32">
        <v>0.1</v>
      </c>
      <c r="O20" s="130">
        <f t="shared" si="1"/>
        <v>4.5175395145262565</v>
      </c>
      <c r="P20" s="148">
        <f t="shared" si="13"/>
        <v>17.031359999999999</v>
      </c>
    </row>
    <row r="21" spans="3:17" x14ac:dyDescent="0.4">
      <c r="C21" s="151" t="s">
        <v>186</v>
      </c>
      <c r="D21" s="197" t="s">
        <v>194</v>
      </c>
      <c r="E21" s="16">
        <v>23.06</v>
      </c>
      <c r="F21" s="16">
        <v>13.97</v>
      </c>
      <c r="G21" s="16">
        <v>9.5299999999999994</v>
      </c>
      <c r="H21" s="9">
        <v>9.1999999999999993</v>
      </c>
      <c r="I21" s="9">
        <v>27.12</v>
      </c>
      <c r="J21" s="9">
        <v>25</v>
      </c>
      <c r="K21" s="15">
        <f t="shared" si="0"/>
        <v>5.75</v>
      </c>
      <c r="L21" s="139">
        <f t="shared" ref="L21" si="16">2*3.14*I21*10^6*K21*10^(-6)</f>
        <v>979.30319999999995</v>
      </c>
      <c r="M21" s="139"/>
      <c r="N21" s="9">
        <v>0.1</v>
      </c>
      <c r="O21" s="16">
        <f t="shared" si="1"/>
        <v>3.296902366978935</v>
      </c>
      <c r="P21" s="144">
        <f t="shared" ref="P21" si="17">2*3.14*I21*10^6*N21*10^(-6)</f>
        <v>17.031359999999999</v>
      </c>
    </row>
    <row r="22" spans="3:17" ht="18" thickBot="1" x14ac:dyDescent="0.45">
      <c r="C22" s="152" t="s">
        <v>190</v>
      </c>
      <c r="D22" s="193"/>
      <c r="E22" s="153">
        <v>17.73</v>
      </c>
      <c r="F22" s="153">
        <v>9.4</v>
      </c>
      <c r="G22" s="153">
        <v>6.35</v>
      </c>
      <c r="H22" s="154">
        <v>7</v>
      </c>
      <c r="I22" s="22">
        <v>27.12</v>
      </c>
      <c r="J22" s="22">
        <v>25</v>
      </c>
      <c r="K22" s="51">
        <f t="shared" si="0"/>
        <v>4.375</v>
      </c>
      <c r="L22" s="140">
        <f t="shared" ref="L22" si="18">2*3.14*I22*10^6*K22*10^(-6)</f>
        <v>745.12199999999996</v>
      </c>
      <c r="M22" s="140"/>
      <c r="N22" s="22">
        <v>0.1</v>
      </c>
      <c r="O22" s="81">
        <f t="shared" si="1"/>
        <v>3.7796447300922722</v>
      </c>
      <c r="P22" s="145">
        <f t="shared" ref="P22" si="19">2*3.14*I22*10^6*N22*10^(-6)</f>
        <v>17.031359999999999</v>
      </c>
      <c r="Q22" t="s">
        <v>191</v>
      </c>
    </row>
    <row r="23" spans="3:17" x14ac:dyDescent="0.4">
      <c r="C23" s="151" t="s">
        <v>187</v>
      </c>
      <c r="D23" s="197" t="s">
        <v>196</v>
      </c>
      <c r="E23" s="155">
        <v>26.92</v>
      </c>
      <c r="F23" s="155">
        <v>14.48</v>
      </c>
      <c r="G23" s="155">
        <v>11.1</v>
      </c>
      <c r="H23" s="156">
        <v>93</v>
      </c>
      <c r="I23" s="9">
        <v>27.12</v>
      </c>
      <c r="J23" s="9">
        <v>25</v>
      </c>
      <c r="K23" s="15">
        <f t="shared" si="0"/>
        <v>58.125</v>
      </c>
      <c r="L23" s="139">
        <f t="shared" ref="L23" si="20">2*3.14*I23*10^6*K23*10^(-6)</f>
        <v>9899.4779999999992</v>
      </c>
      <c r="M23" s="139"/>
      <c r="N23" s="9">
        <v>0.1</v>
      </c>
      <c r="O23" s="16">
        <f t="shared" si="1"/>
        <v>1.0369516947304251</v>
      </c>
      <c r="P23" s="144">
        <f t="shared" ref="P23" si="21">2*3.14*I23*10^6*N23*10^(-6)</f>
        <v>17.031359999999999</v>
      </c>
      <c r="Q23" t="s">
        <v>195</v>
      </c>
    </row>
    <row r="24" spans="3:17" x14ac:dyDescent="0.4">
      <c r="C24" s="157" t="s">
        <v>188</v>
      </c>
      <c r="D24" s="192"/>
      <c r="E24" s="149">
        <v>17.53</v>
      </c>
      <c r="F24" s="149">
        <v>9.4</v>
      </c>
      <c r="G24" s="149">
        <v>6.35</v>
      </c>
      <c r="H24" s="150">
        <v>58</v>
      </c>
      <c r="I24" s="4">
        <v>27.12</v>
      </c>
      <c r="J24" s="4">
        <v>25</v>
      </c>
      <c r="K24" s="5">
        <f t="shared" si="0"/>
        <v>36.25</v>
      </c>
      <c r="L24" s="142">
        <f t="shared" ref="L24" si="22">2*3.14*I24*10^6*K24*10^(-6)</f>
        <v>6173.8679999999995</v>
      </c>
      <c r="M24" s="142"/>
      <c r="N24" s="4">
        <v>0.1</v>
      </c>
      <c r="O24" s="6">
        <f t="shared" si="1"/>
        <v>1.3130643285972254</v>
      </c>
      <c r="P24" s="147">
        <f t="shared" ref="P24" si="23">2*3.14*I24*10^6*N24*10^(-6)</f>
        <v>17.031359999999999</v>
      </c>
      <c r="Q24" t="s">
        <v>189</v>
      </c>
    </row>
    <row r="25" spans="3:17" ht="18" thickBot="1" x14ac:dyDescent="0.45">
      <c r="C25" s="152" t="s">
        <v>192</v>
      </c>
      <c r="D25" s="193"/>
      <c r="E25" s="153">
        <v>20.2</v>
      </c>
      <c r="F25" s="153">
        <v>12.57</v>
      </c>
      <c r="G25" s="153">
        <v>6.35</v>
      </c>
      <c r="H25" s="154">
        <v>46</v>
      </c>
      <c r="I25" s="22">
        <v>27.12</v>
      </c>
      <c r="J25" s="22">
        <v>25</v>
      </c>
      <c r="K25" s="51">
        <f t="shared" si="0"/>
        <v>28.75</v>
      </c>
      <c r="L25" s="140">
        <f t="shared" ref="L25" si="24">2*3.14*I25*10^6*K25*10^(-6)</f>
        <v>4896.5159999999996</v>
      </c>
      <c r="M25" s="140"/>
      <c r="N25" s="22">
        <v>0.1</v>
      </c>
      <c r="O25" s="81">
        <f t="shared" si="1"/>
        <v>1.4744195615489712</v>
      </c>
      <c r="P25" s="145">
        <f t="shared" ref="P25" si="25">2*3.14*I25*10^6*N25*10^(-6)</f>
        <v>17.031359999999999</v>
      </c>
      <c r="Q25" t="s">
        <v>193</v>
      </c>
    </row>
    <row r="46" spans="5:14" ht="18" thickBot="1" x14ac:dyDescent="0.45"/>
    <row r="47" spans="5:14" ht="18" thickBot="1" x14ac:dyDescent="0.45">
      <c r="E47" s="60" t="s">
        <v>67</v>
      </c>
      <c r="F47" s="28" t="s">
        <v>68</v>
      </c>
      <c r="G47" s="28" t="s">
        <v>69</v>
      </c>
      <c r="H47" s="28" t="s">
        <v>70</v>
      </c>
      <c r="I47" s="28" t="s">
        <v>58</v>
      </c>
      <c r="J47" s="28" t="s">
        <v>56</v>
      </c>
      <c r="K47" s="28" t="s">
        <v>71</v>
      </c>
      <c r="L47" s="28" t="s">
        <v>168</v>
      </c>
      <c r="M47" s="174"/>
      <c r="N47" s="29" t="s">
        <v>107</v>
      </c>
    </row>
    <row r="48" spans="5:14" x14ac:dyDescent="0.4">
      <c r="E48" s="26" t="s">
        <v>72</v>
      </c>
      <c r="F48" s="9" t="s">
        <v>73</v>
      </c>
      <c r="G48" s="9" t="s">
        <v>59</v>
      </c>
      <c r="H48" s="9" t="s">
        <v>60</v>
      </c>
      <c r="I48" s="35">
        <v>5</v>
      </c>
      <c r="J48" s="35">
        <v>24</v>
      </c>
      <c r="K48" s="9">
        <v>1.6</v>
      </c>
      <c r="L48" s="4">
        <v>27.12</v>
      </c>
      <c r="M48" s="175"/>
      <c r="N48" s="59">
        <f>2*3.14*L48*J48</f>
        <v>4087.5264000000002</v>
      </c>
    </row>
    <row r="49" spans="5:14" x14ac:dyDescent="0.4">
      <c r="E49" s="20" t="s">
        <v>72</v>
      </c>
      <c r="F49" s="4" t="s">
        <v>74</v>
      </c>
      <c r="G49" s="4" t="s">
        <v>66</v>
      </c>
      <c r="H49" s="4" t="s">
        <v>63</v>
      </c>
      <c r="I49" s="41">
        <v>6</v>
      </c>
      <c r="J49" s="41">
        <v>0.5</v>
      </c>
      <c r="K49" s="4">
        <v>1</v>
      </c>
      <c r="L49" s="4">
        <v>27.12</v>
      </c>
      <c r="M49" s="175"/>
      <c r="N49" s="59">
        <f>2*3.14*L49*J49</f>
        <v>85.156800000000004</v>
      </c>
    </row>
    <row r="50" spans="5:14" x14ac:dyDescent="0.4">
      <c r="E50" s="20" t="s">
        <v>72</v>
      </c>
      <c r="F50" s="4" t="s">
        <v>76</v>
      </c>
      <c r="G50" s="4" t="s">
        <v>62</v>
      </c>
      <c r="H50" s="4" t="s">
        <v>63</v>
      </c>
      <c r="I50" s="41">
        <v>9</v>
      </c>
      <c r="J50" s="41">
        <v>1</v>
      </c>
      <c r="K50" s="4">
        <v>1</v>
      </c>
      <c r="L50" s="4"/>
      <c r="M50" s="175"/>
      <c r="N50" s="19"/>
    </row>
    <row r="51" spans="5:14" x14ac:dyDescent="0.4">
      <c r="E51" s="20" t="s">
        <v>77</v>
      </c>
      <c r="F51" s="4"/>
      <c r="G51" s="4" t="s">
        <v>61</v>
      </c>
      <c r="H51" s="4" t="s">
        <v>60</v>
      </c>
      <c r="I51" s="41">
        <v>25</v>
      </c>
      <c r="J51" s="41">
        <v>290</v>
      </c>
      <c r="K51" s="4">
        <v>0.45</v>
      </c>
      <c r="L51" s="4">
        <v>27.12</v>
      </c>
      <c r="M51" s="175"/>
      <c r="N51" s="59">
        <f t="shared" ref="N51:N57" si="26">2*3.14*L51*J51</f>
        <v>49390.944000000003</v>
      </c>
    </row>
    <row r="52" spans="5:14" x14ac:dyDescent="0.4">
      <c r="E52" s="20" t="s">
        <v>77</v>
      </c>
      <c r="F52" s="4"/>
      <c r="G52" s="4"/>
      <c r="H52" s="4"/>
      <c r="I52" s="41"/>
      <c r="J52" s="41"/>
      <c r="K52" s="4">
        <v>0.45</v>
      </c>
      <c r="L52" s="4">
        <v>27.12</v>
      </c>
      <c r="M52" s="175"/>
      <c r="N52" s="59">
        <f t="shared" si="26"/>
        <v>0</v>
      </c>
    </row>
    <row r="53" spans="5:14" x14ac:dyDescent="0.4">
      <c r="E53" s="20" t="s">
        <v>72</v>
      </c>
      <c r="F53" s="4" t="s">
        <v>78</v>
      </c>
      <c r="G53" s="4" t="s">
        <v>79</v>
      </c>
      <c r="H53" s="4"/>
      <c r="I53" s="41">
        <v>1</v>
      </c>
      <c r="J53" s="41">
        <v>4</v>
      </c>
      <c r="K53" s="4"/>
      <c r="L53" s="4">
        <v>13.56</v>
      </c>
      <c r="M53" s="175"/>
      <c r="N53" s="59">
        <f t="shared" si="26"/>
        <v>340.62720000000002</v>
      </c>
    </row>
    <row r="54" spans="5:14" x14ac:dyDescent="0.4">
      <c r="E54" s="20" t="s">
        <v>72</v>
      </c>
      <c r="F54" s="4" t="s">
        <v>80</v>
      </c>
      <c r="G54" s="4" t="s">
        <v>81</v>
      </c>
      <c r="H54" s="4"/>
      <c r="I54" s="41">
        <v>2</v>
      </c>
      <c r="J54" s="41">
        <v>25.6</v>
      </c>
      <c r="K54" s="4"/>
      <c r="L54" s="4">
        <v>13.56</v>
      </c>
      <c r="M54" s="175"/>
      <c r="N54" s="59">
        <f t="shared" si="26"/>
        <v>2180.0140800000004</v>
      </c>
    </row>
    <row r="55" spans="5:14" x14ac:dyDescent="0.4">
      <c r="E55" s="20" t="s">
        <v>72</v>
      </c>
      <c r="F55" s="4" t="s">
        <v>82</v>
      </c>
      <c r="G55" s="4" t="s">
        <v>81</v>
      </c>
      <c r="H55" s="4"/>
      <c r="I55" s="61" t="s">
        <v>83</v>
      </c>
      <c r="J55" s="41">
        <v>3.3</v>
      </c>
      <c r="K55" s="4"/>
      <c r="L55" s="4">
        <v>13.56</v>
      </c>
      <c r="M55" s="175"/>
      <c r="N55" s="59">
        <f t="shared" si="26"/>
        <v>281.01744000000002</v>
      </c>
    </row>
    <row r="56" spans="5:14" x14ac:dyDescent="0.4">
      <c r="E56" s="198" t="s">
        <v>72</v>
      </c>
      <c r="F56" s="192" t="s">
        <v>106</v>
      </c>
      <c r="G56" s="192" t="s">
        <v>105</v>
      </c>
      <c r="H56" s="192"/>
      <c r="I56" s="62">
        <v>5</v>
      </c>
      <c r="J56" s="62">
        <v>0.5</v>
      </c>
      <c r="K56" s="192">
        <v>1.6</v>
      </c>
      <c r="L56" s="4">
        <v>13.56</v>
      </c>
      <c r="M56" s="175"/>
      <c r="N56" s="59">
        <f t="shared" si="26"/>
        <v>42.578400000000002</v>
      </c>
    </row>
    <row r="57" spans="5:14" x14ac:dyDescent="0.4">
      <c r="E57" s="198"/>
      <c r="F57" s="192"/>
      <c r="G57" s="192"/>
      <c r="H57" s="192"/>
      <c r="I57" s="62">
        <v>6</v>
      </c>
      <c r="J57" s="62">
        <v>0.6</v>
      </c>
      <c r="K57" s="192"/>
      <c r="L57" s="4">
        <v>13.56</v>
      </c>
      <c r="M57" s="175"/>
      <c r="N57" s="59">
        <f t="shared" si="26"/>
        <v>51.094079999999998</v>
      </c>
    </row>
    <row r="58" spans="5:14" x14ac:dyDescent="0.4">
      <c r="E58" s="198"/>
      <c r="F58" s="192"/>
      <c r="G58" s="192"/>
      <c r="H58" s="192"/>
      <c r="I58" s="62">
        <v>8</v>
      </c>
      <c r="J58" s="62">
        <v>1</v>
      </c>
      <c r="K58" s="192"/>
      <c r="L58" s="4"/>
      <c r="M58" s="175"/>
      <c r="N58" s="19"/>
    </row>
    <row r="59" spans="5:14" ht="18" thickBot="1" x14ac:dyDescent="0.45">
      <c r="E59" s="199"/>
      <c r="F59" s="193"/>
      <c r="G59" s="193"/>
      <c r="H59" s="193"/>
      <c r="I59" s="63">
        <v>10</v>
      </c>
      <c r="J59" s="63">
        <v>1.4</v>
      </c>
      <c r="K59" s="193"/>
      <c r="L59" s="22"/>
      <c r="M59" s="176"/>
      <c r="N59" s="24"/>
    </row>
    <row r="62" spans="5:14" ht="18" thickBot="1" x14ac:dyDescent="0.45">
      <c r="E62" t="s">
        <v>112</v>
      </c>
    </row>
    <row r="63" spans="5:14" ht="18" thickBot="1" x14ac:dyDescent="0.45">
      <c r="F63" s="28" t="s">
        <v>113</v>
      </c>
      <c r="G63" s="28" t="s">
        <v>70</v>
      </c>
      <c r="H63" s="29" t="s">
        <v>107</v>
      </c>
      <c r="K63" s="28" t="s">
        <v>113</v>
      </c>
      <c r="L63" s="28" t="s">
        <v>70</v>
      </c>
      <c r="M63" s="174"/>
      <c r="N63" s="29" t="s">
        <v>107</v>
      </c>
    </row>
    <row r="64" spans="5:14" x14ac:dyDescent="0.4">
      <c r="E64" t="s">
        <v>114</v>
      </c>
      <c r="F64" s="41">
        <v>1000</v>
      </c>
      <c r="G64" s="4">
        <v>27.12</v>
      </c>
      <c r="H64" s="68">
        <f>1/(2*3.14*G64*F64)*1000000</f>
        <v>5.8715217105386763</v>
      </c>
      <c r="J64" t="s">
        <v>115</v>
      </c>
      <c r="K64" s="41">
        <v>20</v>
      </c>
      <c r="L64" s="4">
        <v>27.12</v>
      </c>
      <c r="M64" s="175"/>
      <c r="N64" s="59">
        <f>2*3.14*L64*K64</f>
        <v>3406.2719999999999</v>
      </c>
    </row>
    <row r="65" spans="5:14" x14ac:dyDescent="0.4">
      <c r="E65" t="s">
        <v>116</v>
      </c>
      <c r="F65" s="41">
        <v>100</v>
      </c>
      <c r="G65" s="4">
        <v>27.12</v>
      </c>
      <c r="H65" s="68">
        <f>1/(2*3.14*G65*F65)*1000</f>
        <v>5.8715217105386762E-2</v>
      </c>
      <c r="J65" t="s">
        <v>115</v>
      </c>
      <c r="K65" s="41">
        <v>100</v>
      </c>
      <c r="L65" s="4">
        <v>27.12</v>
      </c>
      <c r="M65" s="175"/>
      <c r="N65" s="59">
        <f>2*3.14*L65*K65</f>
        <v>17031.36</v>
      </c>
    </row>
    <row r="66" spans="5:14" x14ac:dyDescent="0.4">
      <c r="E66" t="s">
        <v>116</v>
      </c>
      <c r="F66" s="41">
        <v>200</v>
      </c>
      <c r="G66" s="4">
        <v>27.12</v>
      </c>
      <c r="H66" s="68">
        <f>1/(2*3.14*G66*F66)*1000</f>
        <v>2.9357608552693381E-2</v>
      </c>
    </row>
    <row r="67" spans="5:14" x14ac:dyDescent="0.4">
      <c r="E67" t="s">
        <v>116</v>
      </c>
      <c r="F67" s="41">
        <v>1000</v>
      </c>
      <c r="G67" s="4">
        <v>27.12</v>
      </c>
      <c r="H67" s="68">
        <f>1/(2*3.14*G67*F67)*1000</f>
        <v>5.8715217105386767E-3</v>
      </c>
    </row>
  </sheetData>
  <mergeCells count="18">
    <mergeCell ref="C2:C3"/>
    <mergeCell ref="N2:P2"/>
    <mergeCell ref="I2:I3"/>
    <mergeCell ref="K56:K59"/>
    <mergeCell ref="J2:M2"/>
    <mergeCell ref="D21:D22"/>
    <mergeCell ref="D23:D25"/>
    <mergeCell ref="G56:G59"/>
    <mergeCell ref="E56:E59"/>
    <mergeCell ref="F56:F59"/>
    <mergeCell ref="H56:H59"/>
    <mergeCell ref="D4:D5"/>
    <mergeCell ref="D6:D10"/>
    <mergeCell ref="D11:D15"/>
    <mergeCell ref="D16:D20"/>
    <mergeCell ref="E2:G2"/>
    <mergeCell ref="H2:H3"/>
    <mergeCell ref="D2:D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A311-177C-4520-85D9-2A33E35BBC60}">
  <dimension ref="B3:N31"/>
  <sheetViews>
    <sheetView workbookViewId="0">
      <selection activeCell="B11" sqref="B11:J31"/>
    </sheetView>
  </sheetViews>
  <sheetFormatPr defaultRowHeight="17.399999999999999" x14ac:dyDescent="0.4"/>
  <cols>
    <col min="5" max="5" width="14.8984375" bestFit="1" customWidth="1"/>
  </cols>
  <sheetData>
    <row r="3" spans="2:11" x14ac:dyDescent="0.4"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</row>
    <row r="4" spans="2:11" x14ac:dyDescent="0.4">
      <c r="B4" t="s">
        <v>59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60</v>
      </c>
    </row>
    <row r="5" spans="2:11" x14ac:dyDescent="0.4">
      <c r="B5" t="s">
        <v>61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60</v>
      </c>
    </row>
    <row r="6" spans="2:11" x14ac:dyDescent="0.4">
      <c r="B6" t="s">
        <v>62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63</v>
      </c>
    </row>
    <row r="7" spans="2:11" x14ac:dyDescent="0.4">
      <c r="B7" t="s">
        <v>64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65</v>
      </c>
    </row>
    <row r="8" spans="2:11" x14ac:dyDescent="0.4">
      <c r="B8" t="s">
        <v>66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63</v>
      </c>
    </row>
    <row r="9" spans="2:11" x14ac:dyDescent="0.4">
      <c r="B9" t="s">
        <v>66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63</v>
      </c>
    </row>
    <row r="13" spans="2:11" x14ac:dyDescent="0.4">
      <c r="K13" t="s">
        <v>75</v>
      </c>
    </row>
    <row r="30" spans="13:14" x14ac:dyDescent="0.4">
      <c r="M30">
        <v>34.159999999999997</v>
      </c>
      <c r="N30">
        <v>9.91</v>
      </c>
    </row>
    <row r="31" spans="13:14" x14ac:dyDescent="0.4">
      <c r="M31">
        <f>M30/2</f>
        <v>17.079999999999998</v>
      </c>
      <c r="N31">
        <f>N30/2</f>
        <v>4.9550000000000001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C57-5ABA-4AF1-A0B2-82A7DE7D4DB4}">
  <dimension ref="B1:R62"/>
  <sheetViews>
    <sheetView topLeftCell="A4" workbookViewId="0">
      <selection activeCell="O18" sqref="O18"/>
    </sheetView>
  </sheetViews>
  <sheetFormatPr defaultRowHeight="17.399999999999999" x14ac:dyDescent="0.4"/>
  <cols>
    <col min="1" max="3" width="3.8984375" customWidth="1"/>
  </cols>
  <sheetData>
    <row r="1" spans="2:16" x14ac:dyDescent="0.4">
      <c r="B1" s="25" t="s">
        <v>117</v>
      </c>
      <c r="C1" s="25"/>
    </row>
    <row r="2" spans="2:16" x14ac:dyDescent="0.4">
      <c r="B2" s="25"/>
      <c r="C2" s="25" t="s">
        <v>118</v>
      </c>
    </row>
    <row r="3" spans="2:16" x14ac:dyDescent="0.4">
      <c r="C3" s="25" t="s">
        <v>119</v>
      </c>
    </row>
    <row r="4" spans="2:16" x14ac:dyDescent="0.4">
      <c r="C4" s="25"/>
      <c r="D4" t="s">
        <v>120</v>
      </c>
    </row>
    <row r="5" spans="2:16" ht="18" thickBot="1" x14ac:dyDescent="0.45">
      <c r="C5" s="25"/>
      <c r="D5" t="s">
        <v>121</v>
      </c>
    </row>
    <row r="6" spans="2:16" x14ac:dyDescent="0.4">
      <c r="C6" s="25"/>
      <c r="D6" s="218" t="s">
        <v>122</v>
      </c>
      <c r="E6" s="207"/>
      <c r="F6" s="207"/>
      <c r="G6" s="207"/>
      <c r="H6" s="212"/>
      <c r="I6" s="229" t="s">
        <v>123</v>
      </c>
      <c r="J6" s="196"/>
      <c r="K6" s="194" t="s">
        <v>204</v>
      </c>
      <c r="L6" s="195"/>
      <c r="M6" s="230"/>
      <c r="N6" s="194" t="s">
        <v>205</v>
      </c>
      <c r="O6" s="195"/>
      <c r="P6" s="230"/>
    </row>
    <row r="7" spans="2:16" ht="18" thickBot="1" x14ac:dyDescent="0.45">
      <c r="C7" s="25"/>
      <c r="D7" s="69" t="s">
        <v>124</v>
      </c>
      <c r="E7" s="70" t="s">
        <v>125</v>
      </c>
      <c r="F7" s="70" t="s">
        <v>126</v>
      </c>
      <c r="G7" s="70" t="s">
        <v>127</v>
      </c>
      <c r="H7" s="71" t="s">
        <v>128</v>
      </c>
      <c r="I7" s="72" t="s">
        <v>125</v>
      </c>
      <c r="J7" s="73" t="s">
        <v>126</v>
      </c>
      <c r="K7" s="73" t="s">
        <v>202</v>
      </c>
      <c r="L7" s="73" t="s">
        <v>127</v>
      </c>
      <c r="M7" s="74" t="s">
        <v>128</v>
      </c>
      <c r="N7" s="73" t="s">
        <v>203</v>
      </c>
      <c r="O7" s="73" t="s">
        <v>127</v>
      </c>
      <c r="P7" s="74" t="s">
        <v>128</v>
      </c>
    </row>
    <row r="8" spans="2:16" x14ac:dyDescent="0.4">
      <c r="C8" s="25"/>
      <c r="D8" s="26">
        <v>10</v>
      </c>
      <c r="E8" s="16">
        <f>(D8*50)^0.5</f>
        <v>22.360679774997898</v>
      </c>
      <c r="F8" s="16">
        <f>E8/0.707*2</f>
        <v>63.255105445538611</v>
      </c>
      <c r="G8" s="16">
        <f>D8/E8</f>
        <v>0.44721359549995793</v>
      </c>
      <c r="H8" s="75">
        <f>G8/0.707*2</f>
        <v>1.2651021089107721</v>
      </c>
      <c r="I8" s="14">
        <f>E8/25</f>
        <v>0.89442719099991597</v>
      </c>
      <c r="J8" s="16">
        <f>I8/0.707*2</f>
        <v>2.5302042178215447</v>
      </c>
      <c r="K8" s="15">
        <f>I8*I8/50</f>
        <v>1.6000000000000004E-2</v>
      </c>
      <c r="L8" s="15">
        <f>K8/I8</f>
        <v>1.7888543819998319E-2</v>
      </c>
      <c r="M8" s="116">
        <f>L8/0.707*2</f>
        <v>5.0604084356430892E-2</v>
      </c>
      <c r="N8" s="14">
        <f>I8*I8/25</f>
        <v>3.2000000000000008E-2</v>
      </c>
      <c r="O8" s="15">
        <f>N8/I8</f>
        <v>3.5777087639996638E-2</v>
      </c>
      <c r="P8" s="75">
        <f>O8/0.707*2</f>
        <v>0.10120816871286178</v>
      </c>
    </row>
    <row r="9" spans="2:16" x14ac:dyDescent="0.4">
      <c r="C9" s="25"/>
      <c r="D9" s="20">
        <v>100</v>
      </c>
      <c r="E9" s="6">
        <f t="shared" ref="E9:E12" si="0">(D9*50)^0.5</f>
        <v>70.710678118654755</v>
      </c>
      <c r="F9" s="6">
        <f>E9/0.707*2</f>
        <v>200.03020684202195</v>
      </c>
      <c r="G9" s="6">
        <f t="shared" ref="G9:G12" si="1">D9/E9</f>
        <v>1.4142135623730949</v>
      </c>
      <c r="H9" s="68">
        <f t="shared" ref="H9:H12" si="2">G9/0.707*2</f>
        <v>4.0006041368404386</v>
      </c>
      <c r="I9" s="18">
        <f>E9/25</f>
        <v>2.8284271247461903</v>
      </c>
      <c r="J9" s="6">
        <f t="shared" ref="J9:J12" si="3">I9/0.707*2</f>
        <v>8.0012082736808789</v>
      </c>
      <c r="K9" s="5">
        <f t="shared" ref="K9:K12" si="4">I9*I9/50</f>
        <v>0.16000000000000003</v>
      </c>
      <c r="L9" s="5">
        <f t="shared" ref="L9:L12" si="5">K9/I9</f>
        <v>5.656854249492381E-2</v>
      </c>
      <c r="M9" s="118">
        <f>L9/0.707*2</f>
        <v>0.16002416547361759</v>
      </c>
      <c r="N9" s="18">
        <f t="shared" ref="N9:N12" si="6">I9*I9/25</f>
        <v>0.32000000000000006</v>
      </c>
      <c r="O9" s="5">
        <f t="shared" ref="O9:O12" si="7">N9/I9</f>
        <v>0.11313708498984762</v>
      </c>
      <c r="P9" s="68">
        <f>O9/0.707*2</f>
        <v>0.32004833094723517</v>
      </c>
    </row>
    <row r="10" spans="2:16" x14ac:dyDescent="0.4">
      <c r="C10" s="25"/>
      <c r="D10" s="76">
        <v>300</v>
      </c>
      <c r="E10" s="77">
        <f t="shared" si="0"/>
        <v>122.47448713915891</v>
      </c>
      <c r="F10" s="77">
        <f>E10/0.707*2</f>
        <v>346.46248129889369</v>
      </c>
      <c r="G10" s="77">
        <f t="shared" si="1"/>
        <v>2.4494897427831779</v>
      </c>
      <c r="H10" s="78">
        <f t="shared" si="2"/>
        <v>6.9292496259778726</v>
      </c>
      <c r="I10" s="79">
        <f>E10/25</f>
        <v>4.8989794855663567</v>
      </c>
      <c r="J10" s="77">
        <f t="shared" si="3"/>
        <v>13.858499251955749</v>
      </c>
      <c r="K10" s="80">
        <f t="shared" si="4"/>
        <v>0.48000000000000009</v>
      </c>
      <c r="L10" s="80">
        <f t="shared" si="5"/>
        <v>9.7979589711327128E-2</v>
      </c>
      <c r="M10" s="231">
        <f t="shared" ref="M10:M12" si="8">L10/0.707*2</f>
        <v>0.27716998503911494</v>
      </c>
      <c r="N10" s="79">
        <f t="shared" si="6"/>
        <v>0.96000000000000019</v>
      </c>
      <c r="O10" s="80">
        <f t="shared" si="7"/>
        <v>0.19595917942265426</v>
      </c>
      <c r="P10" s="78">
        <f t="shared" ref="P10:P12" si="9">O10/0.707*2</f>
        <v>0.55433997007822988</v>
      </c>
    </row>
    <row r="11" spans="2:16" x14ac:dyDescent="0.4">
      <c r="C11" s="25"/>
      <c r="D11" s="20">
        <v>600</v>
      </c>
      <c r="E11" s="6">
        <f t="shared" si="0"/>
        <v>173.20508075688772</v>
      </c>
      <c r="F11" s="6">
        <f>E11/0.707*2</f>
        <v>489.97193990633025</v>
      </c>
      <c r="G11" s="6">
        <f t="shared" si="1"/>
        <v>3.4641016151377548</v>
      </c>
      <c r="H11" s="68">
        <f t="shared" si="2"/>
        <v>9.7994387981266051</v>
      </c>
      <c r="I11" s="18">
        <f>E11/25</f>
        <v>6.9282032302755088</v>
      </c>
      <c r="J11" s="6">
        <f t="shared" si="3"/>
        <v>19.598877596253207</v>
      </c>
      <c r="K11" s="5">
        <f t="shared" si="4"/>
        <v>0.95999999999999985</v>
      </c>
      <c r="L11" s="5">
        <f t="shared" si="5"/>
        <v>0.13856406460551016</v>
      </c>
      <c r="M11" s="118">
        <f t="shared" si="8"/>
        <v>0.39197755192506412</v>
      </c>
      <c r="N11" s="18">
        <f t="shared" si="6"/>
        <v>1.9199999999999997</v>
      </c>
      <c r="O11" s="5">
        <f t="shared" si="7"/>
        <v>0.27712812921102031</v>
      </c>
      <c r="P11" s="68">
        <f t="shared" si="9"/>
        <v>0.78395510385012823</v>
      </c>
    </row>
    <row r="12" spans="2:16" ht="18" thickBot="1" x14ac:dyDescent="0.45">
      <c r="C12" s="25"/>
      <c r="D12" s="21">
        <v>1000</v>
      </c>
      <c r="E12" s="81">
        <f t="shared" si="0"/>
        <v>223.60679774997897</v>
      </c>
      <c r="F12" s="81">
        <f>E12/0.707*2</f>
        <v>632.55105445538607</v>
      </c>
      <c r="G12" s="81">
        <f t="shared" si="1"/>
        <v>4.4721359549995796</v>
      </c>
      <c r="H12" s="82">
        <f t="shared" si="2"/>
        <v>12.651021089107722</v>
      </c>
      <c r="I12" s="83">
        <f>E12/25</f>
        <v>8.9442719099991592</v>
      </c>
      <c r="J12" s="81">
        <f t="shared" si="3"/>
        <v>25.302042178215444</v>
      </c>
      <c r="K12" s="51">
        <f t="shared" si="4"/>
        <v>1.6000000000000003</v>
      </c>
      <c r="L12" s="51">
        <f t="shared" si="5"/>
        <v>0.1788854381999832</v>
      </c>
      <c r="M12" s="120">
        <f t="shared" si="8"/>
        <v>0.5060408435643089</v>
      </c>
      <c r="N12" s="83">
        <f t="shared" si="6"/>
        <v>3.2000000000000006</v>
      </c>
      <c r="O12" s="51">
        <f t="shared" si="7"/>
        <v>0.35777087639996641</v>
      </c>
      <c r="P12" s="82">
        <f t="shared" si="9"/>
        <v>1.0120816871286178</v>
      </c>
    </row>
    <row r="13" spans="2:16" x14ac:dyDescent="0.4">
      <c r="D13" t="s">
        <v>206</v>
      </c>
    </row>
    <row r="14" spans="2:16" ht="18" thickBot="1" x14ac:dyDescent="0.45">
      <c r="D14" t="s">
        <v>129</v>
      </c>
    </row>
    <row r="15" spans="2:16" ht="18" thickBot="1" x14ac:dyDescent="0.45">
      <c r="D15" s="225" t="s">
        <v>69</v>
      </c>
      <c r="E15" s="226"/>
      <c r="F15" s="43" t="s">
        <v>59</v>
      </c>
      <c r="G15" s="84" t="s">
        <v>130</v>
      </c>
      <c r="H15" s="44" t="s">
        <v>61</v>
      </c>
      <c r="I15" s="44" t="s">
        <v>131</v>
      </c>
      <c r="J15" s="84" t="s">
        <v>130</v>
      </c>
      <c r="K15" s="84" t="s">
        <v>130</v>
      </c>
      <c r="L15" s="45" t="s">
        <v>132</v>
      </c>
    </row>
    <row r="16" spans="2:16" x14ac:dyDescent="0.4">
      <c r="D16" s="227" t="s">
        <v>133</v>
      </c>
      <c r="E16" s="228"/>
      <c r="F16" s="85">
        <v>35.549999999999997</v>
      </c>
      <c r="G16" s="86">
        <v>29</v>
      </c>
      <c r="H16" s="87">
        <v>21</v>
      </c>
      <c r="I16" s="87">
        <v>12.7</v>
      </c>
      <c r="J16" s="86">
        <v>29</v>
      </c>
      <c r="K16" s="86">
        <v>29</v>
      </c>
      <c r="L16" s="88" t="s">
        <v>134</v>
      </c>
    </row>
    <row r="17" spans="3:18" x14ac:dyDescent="0.4">
      <c r="D17" s="183" t="s">
        <v>55</v>
      </c>
      <c r="E17" s="184"/>
      <c r="F17" s="20">
        <v>885</v>
      </c>
      <c r="G17" s="89">
        <v>510</v>
      </c>
      <c r="H17" s="4">
        <v>470</v>
      </c>
      <c r="I17" s="4">
        <v>440</v>
      </c>
      <c r="J17" s="89">
        <v>510</v>
      </c>
      <c r="K17" s="89">
        <v>510</v>
      </c>
      <c r="L17" s="19"/>
    </row>
    <row r="18" spans="3:18" x14ac:dyDescent="0.4">
      <c r="D18" s="183" t="s">
        <v>135</v>
      </c>
      <c r="E18" s="184"/>
      <c r="F18" s="90">
        <f t="shared" ref="F18:K18" si="10">F17*25^2/1000</f>
        <v>553.125</v>
      </c>
      <c r="G18" s="77">
        <f t="shared" si="10"/>
        <v>318.75</v>
      </c>
      <c r="H18" s="6">
        <f t="shared" si="10"/>
        <v>293.75</v>
      </c>
      <c r="I18" s="6">
        <f t="shared" si="10"/>
        <v>275</v>
      </c>
      <c r="J18" s="77">
        <f t="shared" si="10"/>
        <v>318.75</v>
      </c>
      <c r="K18" s="77">
        <f t="shared" si="10"/>
        <v>318.75</v>
      </c>
      <c r="L18" s="19" t="s">
        <v>136</v>
      </c>
    </row>
    <row r="19" spans="3:18" x14ac:dyDescent="0.4">
      <c r="D19" s="183" t="s">
        <v>137</v>
      </c>
      <c r="E19" s="184"/>
      <c r="F19" s="20">
        <v>0.3</v>
      </c>
      <c r="G19" s="89">
        <v>0.3</v>
      </c>
      <c r="H19" s="4">
        <v>0.3</v>
      </c>
      <c r="I19" s="4">
        <v>0.3</v>
      </c>
      <c r="J19" s="89">
        <v>27.12</v>
      </c>
      <c r="K19" s="89">
        <v>13.65</v>
      </c>
      <c r="L19" s="19" t="s">
        <v>138</v>
      </c>
    </row>
    <row r="20" spans="3:18" x14ac:dyDescent="0.4">
      <c r="D20" s="183" t="s">
        <v>139</v>
      </c>
      <c r="E20" s="184"/>
      <c r="F20" s="90">
        <f t="shared" ref="F20:K20" si="11">2*3.14*F19*F18</f>
        <v>1042.0874999999999</v>
      </c>
      <c r="G20" s="77">
        <f t="shared" si="11"/>
        <v>600.52499999999998</v>
      </c>
      <c r="H20" s="6">
        <f t="shared" si="11"/>
        <v>553.42499999999995</v>
      </c>
      <c r="I20" s="6">
        <f t="shared" si="11"/>
        <v>518.1</v>
      </c>
      <c r="J20" s="77">
        <f t="shared" si="11"/>
        <v>54287.46</v>
      </c>
      <c r="K20" s="77">
        <f t="shared" si="11"/>
        <v>27323.887500000004</v>
      </c>
      <c r="L20" s="91" t="s">
        <v>45</v>
      </c>
    </row>
    <row r="21" spans="3:18" ht="18" thickBot="1" x14ac:dyDescent="0.45">
      <c r="D21" s="185" t="s">
        <v>140</v>
      </c>
      <c r="E21" s="186"/>
      <c r="F21" s="83">
        <v>1.226</v>
      </c>
      <c r="G21" s="92">
        <v>0.78</v>
      </c>
      <c r="H21" s="51">
        <v>0.78</v>
      </c>
      <c r="I21" s="51">
        <v>0.78</v>
      </c>
      <c r="J21" s="92">
        <v>0.78</v>
      </c>
      <c r="K21" s="92">
        <v>0.78</v>
      </c>
      <c r="L21" s="93" t="s">
        <v>141</v>
      </c>
    </row>
    <row r="23" spans="3:18" ht="18" thickBot="1" x14ac:dyDescent="0.45">
      <c r="D23" t="s">
        <v>142</v>
      </c>
    </row>
    <row r="24" spans="3:18" x14ac:dyDescent="0.4">
      <c r="D24" s="181" t="s">
        <v>143</v>
      </c>
      <c r="E24" s="182"/>
      <c r="F24" s="9">
        <v>30</v>
      </c>
      <c r="G24" s="10" t="s">
        <v>138</v>
      </c>
    </row>
    <row r="25" spans="3:18" x14ac:dyDescent="0.4">
      <c r="D25" s="183" t="s">
        <v>144</v>
      </c>
      <c r="E25" s="223"/>
      <c r="F25" s="4">
        <f>300/F24</f>
        <v>10</v>
      </c>
      <c r="G25" s="19" t="s">
        <v>141</v>
      </c>
    </row>
    <row r="26" spans="3:18" ht="18" thickBot="1" x14ac:dyDescent="0.45">
      <c r="D26" s="185" t="s">
        <v>145</v>
      </c>
      <c r="E26" s="224"/>
      <c r="F26" s="22">
        <f>F25/10</f>
        <v>1</v>
      </c>
      <c r="G26" s="93" t="s">
        <v>141</v>
      </c>
    </row>
    <row r="28" spans="3:18" x14ac:dyDescent="0.4">
      <c r="C28" s="25" t="s">
        <v>146</v>
      </c>
    </row>
    <row r="29" spans="3:18" ht="18" thickBot="1" x14ac:dyDescent="0.45">
      <c r="C29" s="25"/>
      <c r="D29" t="s">
        <v>147</v>
      </c>
    </row>
    <row r="30" spans="3:18" x14ac:dyDescent="0.4">
      <c r="D30" s="210" t="s">
        <v>122</v>
      </c>
      <c r="E30" s="208"/>
      <c r="F30" s="208"/>
      <c r="G30" s="208"/>
      <c r="H30" s="214"/>
      <c r="I30" s="210" t="s">
        <v>148</v>
      </c>
      <c r="J30" s="208"/>
      <c r="K30" s="208"/>
      <c r="L30" s="94" t="s">
        <v>149</v>
      </c>
      <c r="M30" s="95">
        <v>25</v>
      </c>
      <c r="N30" s="218" t="s">
        <v>150</v>
      </c>
      <c r="O30" s="194"/>
      <c r="P30" s="218" t="s">
        <v>151</v>
      </c>
      <c r="Q30" s="207"/>
      <c r="R30" s="212"/>
    </row>
    <row r="31" spans="3:18" x14ac:dyDescent="0.4">
      <c r="D31" s="215"/>
      <c r="E31" s="216"/>
      <c r="F31" s="216"/>
      <c r="G31" s="216"/>
      <c r="H31" s="217"/>
      <c r="I31" s="215"/>
      <c r="J31" s="216"/>
      <c r="K31" s="216"/>
      <c r="L31" s="96" t="s">
        <v>152</v>
      </c>
      <c r="M31" s="64">
        <v>1</v>
      </c>
      <c r="N31" s="97" t="s">
        <v>153</v>
      </c>
      <c r="O31" s="98">
        <v>1</v>
      </c>
      <c r="P31" s="97" t="s">
        <v>154</v>
      </c>
      <c r="Q31" s="99">
        <v>1</v>
      </c>
      <c r="R31" s="19"/>
    </row>
    <row r="32" spans="3:18" ht="18" thickBot="1" x14ac:dyDescent="0.45">
      <c r="D32" s="69" t="s">
        <v>124</v>
      </c>
      <c r="E32" s="70" t="s">
        <v>125</v>
      </c>
      <c r="F32" s="70" t="s">
        <v>126</v>
      </c>
      <c r="G32" s="70" t="s">
        <v>127</v>
      </c>
      <c r="H32" s="100" t="s">
        <v>128</v>
      </c>
      <c r="I32" s="69" t="s">
        <v>125</v>
      </c>
      <c r="J32" s="70" t="s">
        <v>126</v>
      </c>
      <c r="K32" s="70" t="s">
        <v>124</v>
      </c>
      <c r="L32" s="70" t="s">
        <v>127</v>
      </c>
      <c r="M32" s="71" t="s">
        <v>128</v>
      </c>
      <c r="N32" s="69" t="s">
        <v>125</v>
      </c>
      <c r="O32" s="100" t="s">
        <v>124</v>
      </c>
      <c r="P32" s="72" t="s">
        <v>125</v>
      </c>
      <c r="Q32" s="73" t="s">
        <v>124</v>
      </c>
      <c r="R32" s="74" t="s">
        <v>201</v>
      </c>
    </row>
    <row r="33" spans="4:18" x14ac:dyDescent="0.4">
      <c r="D33" s="26">
        <v>50</v>
      </c>
      <c r="E33" s="16">
        <f>(D33*50)^0.5</f>
        <v>50</v>
      </c>
      <c r="F33" s="16">
        <f t="shared" ref="F33:F39" si="12">E33/0.707*2</f>
        <v>141.44271570014146</v>
      </c>
      <c r="G33" s="16">
        <f>D33/E33</f>
        <v>1</v>
      </c>
      <c r="H33" s="75">
        <f>G33/0.707*2</f>
        <v>2.8288543140028288</v>
      </c>
      <c r="I33" s="14">
        <f>E33/M$30</f>
        <v>2</v>
      </c>
      <c r="J33" s="16">
        <f>I33/0.707*2</f>
        <v>5.6577086280056577</v>
      </c>
      <c r="K33" s="15">
        <f>I33*I33/50</f>
        <v>0.08</v>
      </c>
      <c r="L33" s="15">
        <f>K33/I33</f>
        <v>0.04</v>
      </c>
      <c r="M33" s="75">
        <f>L33/0.707*2</f>
        <v>0.11315417256011316</v>
      </c>
      <c r="N33" s="101">
        <f t="shared" ref="N33:N39" si="13">I33*O$31/(O$31+Q$31)</f>
        <v>1</v>
      </c>
      <c r="O33" s="102">
        <f t="shared" ref="O33:O39" si="14">N33*N33/(O$31*1000)</f>
        <v>1E-3</v>
      </c>
      <c r="P33" s="14">
        <f t="shared" ref="P33:P39" si="15">I33*Q$31/(O$31+Q$31)</f>
        <v>1</v>
      </c>
      <c r="Q33" s="103">
        <f t="shared" ref="Q33:Q39" si="16">P33*P33/(Q$31*1000)</f>
        <v>1E-3</v>
      </c>
      <c r="R33" s="75">
        <f>P33/0.707</f>
        <v>1.4144271570014144</v>
      </c>
    </row>
    <row r="34" spans="4:18" x14ac:dyDescent="0.4">
      <c r="D34" s="20">
        <v>100</v>
      </c>
      <c r="E34" s="6">
        <f t="shared" ref="E34:E39" si="17">(D34*50)^0.5</f>
        <v>70.710678118654755</v>
      </c>
      <c r="F34" s="6">
        <f t="shared" si="12"/>
        <v>200.03020684202195</v>
      </c>
      <c r="G34" s="6">
        <f t="shared" ref="G34:G39" si="18">D34/E34</f>
        <v>1.4142135623730949</v>
      </c>
      <c r="H34" s="68">
        <f t="shared" ref="H34:H39" si="19">G34/0.707*2</f>
        <v>4.0006041368404386</v>
      </c>
      <c r="I34" s="101">
        <f t="shared" ref="I34:I39" si="20">E34/M$30</f>
        <v>2.8284271247461903</v>
      </c>
      <c r="J34" s="104">
        <f t="shared" ref="J34:J39" si="21">I34/0.707*2</f>
        <v>8.0012082736808789</v>
      </c>
      <c r="K34" s="5">
        <f t="shared" ref="K34:K39" si="22">I34*I34/50</f>
        <v>0.16000000000000003</v>
      </c>
      <c r="L34" s="5">
        <f t="shared" ref="L34:L39" si="23">K34/I34</f>
        <v>5.656854249492381E-2</v>
      </c>
      <c r="M34" s="68">
        <f>L34/0.707*2</f>
        <v>0.16002416547361759</v>
      </c>
      <c r="N34" s="18">
        <f t="shared" si="13"/>
        <v>1.4142135623730951</v>
      </c>
      <c r="O34" s="105">
        <f t="shared" si="14"/>
        <v>2.0000000000000005E-3</v>
      </c>
      <c r="P34" s="18">
        <f t="shared" si="15"/>
        <v>1.4142135623730951</v>
      </c>
      <c r="Q34" s="106">
        <f t="shared" si="16"/>
        <v>2.0000000000000005E-3</v>
      </c>
      <c r="R34" s="68">
        <f t="shared" ref="R34:R39" si="24">P34/0.707</f>
        <v>2.0003020684202197</v>
      </c>
    </row>
    <row r="35" spans="4:18" x14ac:dyDescent="0.4">
      <c r="D35" s="20">
        <v>150</v>
      </c>
      <c r="E35" s="6">
        <f t="shared" si="17"/>
        <v>86.602540378443862</v>
      </c>
      <c r="F35" s="6">
        <f t="shared" si="12"/>
        <v>244.98596995316512</v>
      </c>
      <c r="G35" s="6">
        <f t="shared" si="18"/>
        <v>1.7320508075688774</v>
      </c>
      <c r="H35" s="68">
        <f t="shared" si="19"/>
        <v>4.8997193990633026</v>
      </c>
      <c r="I35" s="101">
        <f t="shared" si="20"/>
        <v>3.4641016151377544</v>
      </c>
      <c r="J35" s="104">
        <f t="shared" si="21"/>
        <v>9.7994387981266033</v>
      </c>
      <c r="K35" s="5">
        <f t="shared" si="22"/>
        <v>0.23999999999999996</v>
      </c>
      <c r="L35" s="5">
        <f t="shared" si="23"/>
        <v>6.9282032302755078E-2</v>
      </c>
      <c r="M35" s="68">
        <f t="shared" ref="M35:M39" si="25">L35/0.707*2</f>
        <v>0.19598877596253206</v>
      </c>
      <c r="N35" s="18">
        <f t="shared" si="13"/>
        <v>1.7320508075688772</v>
      </c>
      <c r="O35" s="105">
        <f t="shared" si="14"/>
        <v>2.9999999999999996E-3</v>
      </c>
      <c r="P35" s="18">
        <f t="shared" si="15"/>
        <v>1.7320508075688772</v>
      </c>
      <c r="Q35" s="106">
        <f t="shared" si="16"/>
        <v>2.9999999999999996E-3</v>
      </c>
      <c r="R35" s="68">
        <f t="shared" si="24"/>
        <v>2.4498596995316508</v>
      </c>
    </row>
    <row r="36" spans="4:18" x14ac:dyDescent="0.4">
      <c r="D36" s="20">
        <v>200</v>
      </c>
      <c r="E36" s="6">
        <f t="shared" si="17"/>
        <v>100</v>
      </c>
      <c r="F36" s="6">
        <f t="shared" si="12"/>
        <v>282.88543140028293</v>
      </c>
      <c r="G36" s="6">
        <f t="shared" si="18"/>
        <v>2</v>
      </c>
      <c r="H36" s="68">
        <f t="shared" si="19"/>
        <v>5.6577086280056577</v>
      </c>
      <c r="I36" s="101">
        <f t="shared" si="20"/>
        <v>4</v>
      </c>
      <c r="J36" s="104">
        <f t="shared" si="21"/>
        <v>11.315417256011315</v>
      </c>
      <c r="K36" s="5">
        <f t="shared" si="22"/>
        <v>0.32</v>
      </c>
      <c r="L36" s="5">
        <f t="shared" si="23"/>
        <v>0.08</v>
      </c>
      <c r="M36" s="68">
        <f t="shared" si="25"/>
        <v>0.22630834512022632</v>
      </c>
      <c r="N36" s="18">
        <f t="shared" si="13"/>
        <v>2</v>
      </c>
      <c r="O36" s="105">
        <f t="shared" si="14"/>
        <v>4.0000000000000001E-3</v>
      </c>
      <c r="P36" s="18">
        <f t="shared" si="15"/>
        <v>2</v>
      </c>
      <c r="Q36" s="106">
        <f t="shared" si="16"/>
        <v>4.0000000000000001E-3</v>
      </c>
      <c r="R36" s="68">
        <f t="shared" si="24"/>
        <v>2.8288543140028288</v>
      </c>
    </row>
    <row r="37" spans="4:18" x14ac:dyDescent="0.4">
      <c r="D37" s="20">
        <v>250</v>
      </c>
      <c r="E37" s="6">
        <f t="shared" si="17"/>
        <v>111.80339887498948</v>
      </c>
      <c r="F37" s="6">
        <f t="shared" si="12"/>
        <v>316.27552722769303</v>
      </c>
      <c r="G37" s="6">
        <f t="shared" si="18"/>
        <v>2.2360679774997898</v>
      </c>
      <c r="H37" s="68">
        <f t="shared" si="19"/>
        <v>6.3255105445538611</v>
      </c>
      <c r="I37" s="101">
        <f t="shared" si="20"/>
        <v>4.4721359549995796</v>
      </c>
      <c r="J37" s="104">
        <f t="shared" si="21"/>
        <v>12.651021089107722</v>
      </c>
      <c r="K37" s="5">
        <f t="shared" si="22"/>
        <v>0.40000000000000008</v>
      </c>
      <c r="L37" s="5">
        <f t="shared" si="23"/>
        <v>8.9442719099991602E-2</v>
      </c>
      <c r="M37" s="68">
        <f t="shared" si="25"/>
        <v>0.25302042178215445</v>
      </c>
      <c r="N37" s="18">
        <f t="shared" si="13"/>
        <v>2.2360679774997898</v>
      </c>
      <c r="O37" s="105">
        <f t="shared" si="14"/>
        <v>5.000000000000001E-3</v>
      </c>
      <c r="P37" s="18">
        <f t="shared" si="15"/>
        <v>2.2360679774997898</v>
      </c>
      <c r="Q37" s="106">
        <f t="shared" si="16"/>
        <v>5.000000000000001E-3</v>
      </c>
      <c r="R37" s="68">
        <f t="shared" si="24"/>
        <v>3.1627552722769305</v>
      </c>
    </row>
    <row r="38" spans="4:18" x14ac:dyDescent="0.4">
      <c r="D38" s="76">
        <v>300</v>
      </c>
      <c r="E38" s="77">
        <f t="shared" si="17"/>
        <v>122.47448713915891</v>
      </c>
      <c r="F38" s="77">
        <f t="shared" si="12"/>
        <v>346.46248129889369</v>
      </c>
      <c r="G38" s="77">
        <f t="shared" si="18"/>
        <v>2.4494897427831779</v>
      </c>
      <c r="H38" s="78">
        <f t="shared" si="19"/>
        <v>6.9292496259778726</v>
      </c>
      <c r="I38" s="177">
        <f t="shared" si="20"/>
        <v>4.8989794855663567</v>
      </c>
      <c r="J38" s="178">
        <f t="shared" si="21"/>
        <v>13.858499251955749</v>
      </c>
      <c r="K38" s="80">
        <f t="shared" si="22"/>
        <v>0.48000000000000009</v>
      </c>
      <c r="L38" s="80">
        <f t="shared" si="23"/>
        <v>9.7979589711327128E-2</v>
      </c>
      <c r="M38" s="78">
        <f t="shared" si="25"/>
        <v>0.27716998503911494</v>
      </c>
      <c r="N38" s="79">
        <f t="shared" si="13"/>
        <v>2.4494897427831783</v>
      </c>
      <c r="O38" s="179">
        <f t="shared" si="14"/>
        <v>6.000000000000001E-3</v>
      </c>
      <c r="P38" s="79">
        <f t="shared" si="15"/>
        <v>2.4494897427831783</v>
      </c>
      <c r="Q38" s="180">
        <f t="shared" si="16"/>
        <v>6.000000000000001E-3</v>
      </c>
      <c r="R38" s="78">
        <f t="shared" si="24"/>
        <v>3.4646248129889372</v>
      </c>
    </row>
    <row r="39" spans="4:18" ht="18" thickBot="1" x14ac:dyDescent="0.45">
      <c r="D39" s="21">
        <v>350</v>
      </c>
      <c r="E39" s="81">
        <f t="shared" si="17"/>
        <v>132.28756555322954</v>
      </c>
      <c r="F39" s="81">
        <f t="shared" si="12"/>
        <v>374.22225050418541</v>
      </c>
      <c r="G39" s="81">
        <f t="shared" si="18"/>
        <v>2.6457513110645903</v>
      </c>
      <c r="H39" s="82">
        <f t="shared" si="19"/>
        <v>7.4844450100837072</v>
      </c>
      <c r="I39" s="107">
        <f t="shared" si="20"/>
        <v>5.2915026221291814</v>
      </c>
      <c r="J39" s="108">
        <f t="shared" si="21"/>
        <v>14.968890020167416</v>
      </c>
      <c r="K39" s="51">
        <f t="shared" si="22"/>
        <v>0.56000000000000005</v>
      </c>
      <c r="L39" s="51">
        <f t="shared" si="23"/>
        <v>0.10583005244258363</v>
      </c>
      <c r="M39" s="82">
        <f t="shared" si="25"/>
        <v>0.29937780040334833</v>
      </c>
      <c r="N39" s="83">
        <f t="shared" si="13"/>
        <v>2.6457513110645907</v>
      </c>
      <c r="O39" s="109">
        <f t="shared" si="14"/>
        <v>7.000000000000001E-3</v>
      </c>
      <c r="P39" s="83">
        <f t="shared" si="15"/>
        <v>2.6457513110645907</v>
      </c>
      <c r="Q39" s="110">
        <f t="shared" si="16"/>
        <v>7.000000000000001E-3</v>
      </c>
      <c r="R39" s="82">
        <f t="shared" si="24"/>
        <v>3.7422225050418541</v>
      </c>
    </row>
    <row r="40" spans="4:18" x14ac:dyDescent="0.4">
      <c r="E40" s="111"/>
      <c r="F40" s="111"/>
      <c r="G40" s="111"/>
      <c r="H40" s="111"/>
      <c r="I40" s="112"/>
      <c r="J40" s="111"/>
      <c r="K40" s="111"/>
      <c r="L40" s="112"/>
      <c r="M40" s="111"/>
      <c r="N40" s="112"/>
      <c r="O40" s="113"/>
      <c r="P40" s="112"/>
      <c r="Q40" s="113"/>
      <c r="R40" s="111"/>
    </row>
    <row r="41" spans="4:18" ht="18" thickBot="1" x14ac:dyDescent="0.45">
      <c r="D41" t="s">
        <v>155</v>
      </c>
    </row>
    <row r="42" spans="4:18" x14ac:dyDescent="0.4">
      <c r="D42" s="210" t="s">
        <v>122</v>
      </c>
      <c r="E42" s="208"/>
      <c r="F42" s="208"/>
      <c r="G42" s="208"/>
      <c r="H42" s="219"/>
      <c r="I42" s="221" t="s">
        <v>156</v>
      </c>
      <c r="J42" s="208"/>
      <c r="K42" s="208"/>
      <c r="L42" s="94" t="s">
        <v>149</v>
      </c>
      <c r="M42" s="95">
        <v>1</v>
      </c>
      <c r="N42" s="218" t="s">
        <v>150</v>
      </c>
      <c r="O42" s="194"/>
      <c r="P42" s="218" t="s">
        <v>151</v>
      </c>
      <c r="Q42" s="207"/>
      <c r="R42" s="212"/>
    </row>
    <row r="43" spans="4:18" x14ac:dyDescent="0.4">
      <c r="D43" s="215"/>
      <c r="E43" s="216"/>
      <c r="F43" s="216"/>
      <c r="G43" s="216"/>
      <c r="H43" s="220"/>
      <c r="I43" s="222"/>
      <c r="J43" s="216"/>
      <c r="K43" s="216"/>
      <c r="L43" s="96" t="s">
        <v>152</v>
      </c>
      <c r="M43" s="64">
        <v>25</v>
      </c>
      <c r="N43" s="97" t="s">
        <v>153</v>
      </c>
      <c r="O43" s="98">
        <v>1</v>
      </c>
      <c r="P43" s="97" t="s">
        <v>157</v>
      </c>
      <c r="Q43" s="99">
        <v>1</v>
      </c>
      <c r="R43" s="19"/>
    </row>
    <row r="44" spans="4:18" ht="18" thickBot="1" x14ac:dyDescent="0.45">
      <c r="D44" s="69" t="s">
        <v>124</v>
      </c>
      <c r="E44" s="70" t="s">
        <v>125</v>
      </c>
      <c r="F44" s="70" t="s">
        <v>126</v>
      </c>
      <c r="G44" s="70" t="s">
        <v>127</v>
      </c>
      <c r="H44" s="71" t="s">
        <v>128</v>
      </c>
      <c r="I44" s="114" t="s">
        <v>127</v>
      </c>
      <c r="J44" s="74" t="s">
        <v>128</v>
      </c>
      <c r="K44" s="72" t="s">
        <v>125</v>
      </c>
      <c r="L44" s="73" t="s">
        <v>126</v>
      </c>
      <c r="M44" s="73" t="s">
        <v>124</v>
      </c>
      <c r="N44" s="72" t="s">
        <v>125</v>
      </c>
      <c r="O44" s="115" t="s">
        <v>124</v>
      </c>
      <c r="P44" s="72" t="s">
        <v>125</v>
      </c>
      <c r="Q44" s="73" t="s">
        <v>124</v>
      </c>
      <c r="R44" s="74" t="s">
        <v>201</v>
      </c>
    </row>
    <row r="45" spans="4:18" x14ac:dyDescent="0.4">
      <c r="D45" s="26">
        <v>50</v>
      </c>
      <c r="E45" s="16">
        <f>(D45*50)^0.5</f>
        <v>50</v>
      </c>
      <c r="F45" s="16">
        <f t="shared" ref="F45:F51" si="26">E45/0.707*2</f>
        <v>141.44271570014146</v>
      </c>
      <c r="G45" s="16">
        <f>D45/E45</f>
        <v>1</v>
      </c>
      <c r="H45" s="116">
        <f>G45/0.707*2</f>
        <v>2.8288543140028288</v>
      </c>
      <c r="I45" s="14">
        <f>G45/M$43</f>
        <v>0.04</v>
      </c>
      <c r="J45" s="16">
        <f>I45/0.707*2</f>
        <v>0.11315417256011316</v>
      </c>
      <c r="K45" s="15">
        <f>I45*50</f>
        <v>2</v>
      </c>
      <c r="L45" s="16">
        <f>K45/0.707*2</f>
        <v>5.6577086280056577</v>
      </c>
      <c r="M45" s="75">
        <f>I45*K45</f>
        <v>0.08</v>
      </c>
      <c r="N45" s="14">
        <f>K45*O$31/(O$31+Q$31)</f>
        <v>1</v>
      </c>
      <c r="O45" s="117">
        <f t="shared" ref="O45:O51" si="27">N45*N45/(O$31*1000)</f>
        <v>1E-3</v>
      </c>
      <c r="P45" s="14">
        <f>K45*Q$31/(O$31+Q$31)</f>
        <v>1</v>
      </c>
      <c r="Q45" s="103">
        <f t="shared" ref="Q45:Q51" si="28">P45*P45/(Q$31*1000)</f>
        <v>1E-3</v>
      </c>
      <c r="R45" s="75">
        <f>P45/0.707</f>
        <v>1.4144271570014144</v>
      </c>
    </row>
    <row r="46" spans="4:18" x14ac:dyDescent="0.4">
      <c r="D46" s="20">
        <v>100</v>
      </c>
      <c r="E46" s="6">
        <f t="shared" ref="E46:E51" si="29">(D46*50)^0.5</f>
        <v>70.710678118654755</v>
      </c>
      <c r="F46" s="6">
        <f t="shared" si="26"/>
        <v>200.03020684202195</v>
      </c>
      <c r="G46" s="6">
        <f t="shared" ref="G46:G51" si="30">D46/E46</f>
        <v>1.4142135623730949</v>
      </c>
      <c r="H46" s="118">
        <f t="shared" ref="H46:H51" si="31">G46/0.707*2</f>
        <v>4.0006041368404386</v>
      </c>
      <c r="I46" s="18">
        <f t="shared" ref="I46:I51" si="32">G46/M$43</f>
        <v>5.6568542494923796E-2</v>
      </c>
      <c r="J46" s="6">
        <f t="shared" ref="J46:J51" si="33">I46/0.707*2</f>
        <v>0.16002416547361753</v>
      </c>
      <c r="K46" s="5">
        <f t="shared" ref="K46:K51" si="34">I46*50</f>
        <v>2.8284271247461898</v>
      </c>
      <c r="L46" s="6">
        <f t="shared" ref="L46:L51" si="35">K46/0.707*2</f>
        <v>8.0012082736808772</v>
      </c>
      <c r="M46" s="68">
        <f t="shared" ref="M46:M51" si="36">I46*K46</f>
        <v>0.15999999999999998</v>
      </c>
      <c r="N46" s="18">
        <f t="shared" ref="N46:N51" si="37">K46*O$31/(O$31+Q$31)</f>
        <v>1.4142135623730949</v>
      </c>
      <c r="O46" s="119">
        <f t="shared" si="27"/>
        <v>1.9999999999999996E-3</v>
      </c>
      <c r="P46" s="18">
        <f t="shared" ref="P46:P51" si="38">K46*Q$31/(O$31+Q$31)</f>
        <v>1.4142135623730949</v>
      </c>
      <c r="Q46" s="106">
        <f t="shared" si="28"/>
        <v>1.9999999999999996E-3</v>
      </c>
      <c r="R46" s="68">
        <f t="shared" ref="R46:R51" si="39">P46/0.707</f>
        <v>2.0003020684202193</v>
      </c>
    </row>
    <row r="47" spans="4:18" x14ac:dyDescent="0.4">
      <c r="D47" s="20">
        <v>150</v>
      </c>
      <c r="E47" s="6">
        <f t="shared" si="29"/>
        <v>86.602540378443862</v>
      </c>
      <c r="F47" s="6">
        <f t="shared" si="26"/>
        <v>244.98596995316512</v>
      </c>
      <c r="G47" s="6">
        <f t="shared" si="30"/>
        <v>1.7320508075688774</v>
      </c>
      <c r="H47" s="118">
        <f t="shared" si="31"/>
        <v>4.8997193990633026</v>
      </c>
      <c r="I47" s="18">
        <f t="shared" si="32"/>
        <v>6.9282032302755092E-2</v>
      </c>
      <c r="J47" s="6">
        <f t="shared" si="33"/>
        <v>0.19598877596253209</v>
      </c>
      <c r="K47" s="5">
        <f t="shared" si="34"/>
        <v>3.4641016151377544</v>
      </c>
      <c r="L47" s="6">
        <f t="shared" si="35"/>
        <v>9.7994387981266033</v>
      </c>
      <c r="M47" s="68">
        <f t="shared" si="36"/>
        <v>0.24</v>
      </c>
      <c r="N47" s="18">
        <f t="shared" si="37"/>
        <v>1.7320508075688772</v>
      </c>
      <c r="O47" s="119">
        <f t="shared" si="27"/>
        <v>2.9999999999999996E-3</v>
      </c>
      <c r="P47" s="18">
        <f t="shared" si="38"/>
        <v>1.7320508075688772</v>
      </c>
      <c r="Q47" s="106">
        <f t="shared" si="28"/>
        <v>2.9999999999999996E-3</v>
      </c>
      <c r="R47" s="68">
        <f t="shared" si="39"/>
        <v>2.4498596995316508</v>
      </c>
    </row>
    <row r="48" spans="4:18" x14ac:dyDescent="0.4">
      <c r="D48" s="20">
        <v>200</v>
      </c>
      <c r="E48" s="6">
        <f t="shared" si="29"/>
        <v>100</v>
      </c>
      <c r="F48" s="6">
        <f t="shared" si="26"/>
        <v>282.88543140028293</v>
      </c>
      <c r="G48" s="6">
        <f t="shared" si="30"/>
        <v>2</v>
      </c>
      <c r="H48" s="118">
        <f t="shared" si="31"/>
        <v>5.6577086280056577</v>
      </c>
      <c r="I48" s="18">
        <f t="shared" si="32"/>
        <v>0.08</v>
      </c>
      <c r="J48" s="6">
        <f t="shared" si="33"/>
        <v>0.22630834512022632</v>
      </c>
      <c r="K48" s="5">
        <f t="shared" si="34"/>
        <v>4</v>
      </c>
      <c r="L48" s="6">
        <f t="shared" si="35"/>
        <v>11.315417256011315</v>
      </c>
      <c r="M48" s="68">
        <f t="shared" si="36"/>
        <v>0.32</v>
      </c>
      <c r="N48" s="18">
        <f t="shared" si="37"/>
        <v>2</v>
      </c>
      <c r="O48" s="119">
        <f t="shared" si="27"/>
        <v>4.0000000000000001E-3</v>
      </c>
      <c r="P48" s="18">
        <f t="shared" si="38"/>
        <v>2</v>
      </c>
      <c r="Q48" s="106">
        <f t="shared" si="28"/>
        <v>4.0000000000000001E-3</v>
      </c>
      <c r="R48" s="68">
        <f t="shared" si="39"/>
        <v>2.8288543140028288</v>
      </c>
    </row>
    <row r="49" spans="4:18" x14ac:dyDescent="0.4">
      <c r="D49" s="20">
        <v>250</v>
      </c>
      <c r="E49" s="6">
        <f t="shared" si="29"/>
        <v>111.80339887498948</v>
      </c>
      <c r="F49" s="6">
        <f t="shared" si="26"/>
        <v>316.27552722769303</v>
      </c>
      <c r="G49" s="6">
        <f t="shared" si="30"/>
        <v>2.2360679774997898</v>
      </c>
      <c r="H49" s="118">
        <f t="shared" si="31"/>
        <v>6.3255105445538611</v>
      </c>
      <c r="I49" s="18">
        <f t="shared" si="32"/>
        <v>8.9442719099991588E-2</v>
      </c>
      <c r="J49" s="6">
        <f t="shared" si="33"/>
        <v>0.25302042178215445</v>
      </c>
      <c r="K49" s="5">
        <f t="shared" si="34"/>
        <v>4.4721359549995796</v>
      </c>
      <c r="L49" s="6">
        <f t="shared" si="35"/>
        <v>12.651021089107722</v>
      </c>
      <c r="M49" s="68">
        <f t="shared" si="36"/>
        <v>0.4</v>
      </c>
      <c r="N49" s="18">
        <f t="shared" si="37"/>
        <v>2.2360679774997898</v>
      </c>
      <c r="O49" s="119">
        <f t="shared" si="27"/>
        <v>5.000000000000001E-3</v>
      </c>
      <c r="P49" s="18">
        <f t="shared" si="38"/>
        <v>2.2360679774997898</v>
      </c>
      <c r="Q49" s="106">
        <f t="shared" si="28"/>
        <v>5.000000000000001E-3</v>
      </c>
      <c r="R49" s="68">
        <f t="shared" si="39"/>
        <v>3.1627552722769305</v>
      </c>
    </row>
    <row r="50" spans="4:18" x14ac:dyDescent="0.4">
      <c r="D50" s="20">
        <v>300</v>
      </c>
      <c r="E50" s="6">
        <f t="shared" si="29"/>
        <v>122.47448713915891</v>
      </c>
      <c r="F50" s="6">
        <f t="shared" si="26"/>
        <v>346.46248129889369</v>
      </c>
      <c r="G50" s="6">
        <f t="shared" si="30"/>
        <v>2.4494897427831779</v>
      </c>
      <c r="H50" s="118">
        <f t="shared" si="31"/>
        <v>6.9292496259778726</v>
      </c>
      <c r="I50" s="18">
        <f t="shared" si="32"/>
        <v>9.7979589711327114E-2</v>
      </c>
      <c r="J50" s="6">
        <f t="shared" si="33"/>
        <v>0.27716998503911489</v>
      </c>
      <c r="K50" s="5">
        <f t="shared" si="34"/>
        <v>4.8989794855663558</v>
      </c>
      <c r="L50" s="6">
        <f t="shared" si="35"/>
        <v>13.858499251955745</v>
      </c>
      <c r="M50" s="68">
        <f t="shared" si="36"/>
        <v>0.47999999999999993</v>
      </c>
      <c r="N50" s="18">
        <f t="shared" si="37"/>
        <v>2.4494897427831779</v>
      </c>
      <c r="O50" s="119">
        <f t="shared" si="27"/>
        <v>5.9999999999999993E-3</v>
      </c>
      <c r="P50" s="18">
        <f t="shared" si="38"/>
        <v>2.4494897427831779</v>
      </c>
      <c r="Q50" s="106">
        <f t="shared" si="28"/>
        <v>5.9999999999999993E-3</v>
      </c>
      <c r="R50" s="68">
        <f t="shared" si="39"/>
        <v>3.4646248129889363</v>
      </c>
    </row>
    <row r="51" spans="4:18" ht="18" thickBot="1" x14ac:dyDescent="0.45">
      <c r="D51" s="21">
        <v>350</v>
      </c>
      <c r="E51" s="81">
        <f t="shared" si="29"/>
        <v>132.28756555322954</v>
      </c>
      <c r="F51" s="81">
        <f t="shared" si="26"/>
        <v>374.22225050418541</v>
      </c>
      <c r="G51" s="81">
        <f t="shared" si="30"/>
        <v>2.6457513110645903</v>
      </c>
      <c r="H51" s="120">
        <f t="shared" si="31"/>
        <v>7.4844450100837072</v>
      </c>
      <c r="I51" s="83">
        <f t="shared" si="32"/>
        <v>0.10583005244258362</v>
      </c>
      <c r="J51" s="81">
        <f t="shared" si="33"/>
        <v>0.29937780040334827</v>
      </c>
      <c r="K51" s="51">
        <f t="shared" si="34"/>
        <v>5.2915026221291805</v>
      </c>
      <c r="L51" s="81">
        <f t="shared" si="35"/>
        <v>14.968890020167414</v>
      </c>
      <c r="M51" s="82">
        <f t="shared" si="36"/>
        <v>0.55999999999999994</v>
      </c>
      <c r="N51" s="83">
        <f t="shared" si="37"/>
        <v>2.6457513110645903</v>
      </c>
      <c r="O51" s="121">
        <f t="shared" si="27"/>
        <v>6.9999999999999984E-3</v>
      </c>
      <c r="P51" s="83">
        <f t="shared" si="38"/>
        <v>2.6457513110645903</v>
      </c>
      <c r="Q51" s="110">
        <f t="shared" si="28"/>
        <v>6.9999999999999984E-3</v>
      </c>
      <c r="R51" s="82">
        <f t="shared" si="39"/>
        <v>3.7422225050418536</v>
      </c>
    </row>
    <row r="53" spans="4:18" ht="18" thickBot="1" x14ac:dyDescent="0.45">
      <c r="D53" s="25" t="s">
        <v>158</v>
      </c>
    </row>
    <row r="54" spans="4:18" x14ac:dyDescent="0.4">
      <c r="D54" s="122" t="s">
        <v>49</v>
      </c>
      <c r="E54" s="26">
        <v>1</v>
      </c>
      <c r="F54" s="9">
        <v>1</v>
      </c>
      <c r="G54" s="10">
        <v>1</v>
      </c>
      <c r="H54" s="123" t="s">
        <v>159</v>
      </c>
    </row>
    <row r="55" spans="4:18" x14ac:dyDescent="0.4">
      <c r="D55" s="124" t="s">
        <v>160</v>
      </c>
      <c r="E55" s="20">
        <v>100</v>
      </c>
      <c r="F55" s="4">
        <v>47</v>
      </c>
      <c r="G55" s="19">
        <v>100000</v>
      </c>
      <c r="H55" s="125" t="s">
        <v>161</v>
      </c>
    </row>
    <row r="56" spans="4:18" x14ac:dyDescent="0.4">
      <c r="D56" s="124" t="s">
        <v>162</v>
      </c>
      <c r="E56" s="20">
        <f>(1/(2*3.14*E54*1000*E55*10^(-12)))/1000</f>
        <v>1592.3566878980891</v>
      </c>
      <c r="F56" s="4">
        <f>(1/(2*3.14*F54*1000*F55*10^(-12)))/1000</f>
        <v>3387.9929529746578</v>
      </c>
      <c r="G56" s="19">
        <f>(1/(2*3.14*G54*1000*G55*10^(-12)))/1000</f>
        <v>1.592356687898089</v>
      </c>
      <c r="H56" s="125" t="s">
        <v>163</v>
      </c>
    </row>
    <row r="57" spans="4:18" ht="18" thickBot="1" x14ac:dyDescent="0.45">
      <c r="D57" s="126" t="s">
        <v>164</v>
      </c>
      <c r="E57" s="21">
        <f>1/(2*3.14*E56)*1000</f>
        <v>0.1</v>
      </c>
      <c r="F57" s="22">
        <f>1/(2*3.14*F56)*1000</f>
        <v>4.7E-2</v>
      </c>
      <c r="G57" s="24">
        <f>1/(2*3.14*G56)*1000</f>
        <v>100</v>
      </c>
      <c r="H57" s="127" t="s">
        <v>165</v>
      </c>
    </row>
    <row r="59" spans="4:18" ht="18" thickBot="1" x14ac:dyDescent="0.45">
      <c r="D59" s="128" t="s">
        <v>166</v>
      </c>
    </row>
    <row r="60" spans="4:18" x14ac:dyDescent="0.4">
      <c r="D60" s="122" t="s">
        <v>160</v>
      </c>
      <c r="E60" s="26">
        <v>20</v>
      </c>
      <c r="F60" s="9">
        <v>68</v>
      </c>
      <c r="G60" s="9">
        <v>100</v>
      </c>
      <c r="H60" s="10">
        <v>100000</v>
      </c>
      <c r="I60" s="123" t="s">
        <v>161</v>
      </c>
    </row>
    <row r="61" spans="4:18" x14ac:dyDescent="0.4">
      <c r="D61" s="124" t="s">
        <v>162</v>
      </c>
      <c r="E61" s="20">
        <v>27120</v>
      </c>
      <c r="F61" s="4">
        <v>13560</v>
      </c>
      <c r="G61" s="4">
        <v>1000</v>
      </c>
      <c r="H61" s="19">
        <v>0.8</v>
      </c>
      <c r="I61" s="125" t="s">
        <v>163</v>
      </c>
    </row>
    <row r="62" spans="4:18" ht="18" thickBot="1" x14ac:dyDescent="0.45">
      <c r="D62" s="129" t="s">
        <v>167</v>
      </c>
      <c r="E62" s="21">
        <f>(1/(2*3.14*E61*1000*E60*10^(-12)))</f>
        <v>293.57608552693381</v>
      </c>
      <c r="F62" s="22">
        <f>(1/(2*3.14*F61*1000*F60*10^(-12)))</f>
        <v>172.69181501584345</v>
      </c>
      <c r="G62" s="22">
        <f>(1/(2*3.14*G61*1000*G60*10^(-12)))</f>
        <v>1592.3566878980891</v>
      </c>
      <c r="H62" s="24">
        <f>(1/(2*3.14*H61*1000*H60*10^(-12)))</f>
        <v>1990.4458598726112</v>
      </c>
      <c r="I62" s="127" t="s">
        <v>45</v>
      </c>
    </row>
  </sheetData>
  <mergeCells count="22">
    <mergeCell ref="N6:P6"/>
    <mergeCell ref="D26:E26"/>
    <mergeCell ref="D6:H6"/>
    <mergeCell ref="D15:E15"/>
    <mergeCell ref="D16:E16"/>
    <mergeCell ref="D17:E17"/>
    <mergeCell ref="D18:E18"/>
    <mergeCell ref="I6:J6"/>
    <mergeCell ref="K6:M6"/>
    <mergeCell ref="D19:E19"/>
    <mergeCell ref="D20:E20"/>
    <mergeCell ref="D21:E21"/>
    <mergeCell ref="D24:E24"/>
    <mergeCell ref="D25:E25"/>
    <mergeCell ref="D30:H31"/>
    <mergeCell ref="I30:K31"/>
    <mergeCell ref="N30:O30"/>
    <mergeCell ref="P30:R30"/>
    <mergeCell ref="D42:H43"/>
    <mergeCell ref="I42:K43"/>
    <mergeCell ref="N42:O42"/>
    <mergeCell ref="P42:R4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0772-3864-42EB-AE21-81C1C97CAE38}">
  <dimension ref="B2:Q25"/>
  <sheetViews>
    <sheetView topLeftCell="A4" workbookViewId="0">
      <selection activeCell="J19" sqref="J19"/>
    </sheetView>
  </sheetViews>
  <sheetFormatPr defaultRowHeight="17.399999999999999" x14ac:dyDescent="0.4"/>
  <sheetData>
    <row r="2" spans="2:17" x14ac:dyDescent="0.4">
      <c r="B2" s="25" t="s">
        <v>146</v>
      </c>
    </row>
    <row r="3" spans="2:17" ht="18" thickBot="1" x14ac:dyDescent="0.45">
      <c r="B3" s="25"/>
      <c r="C3" t="s">
        <v>147</v>
      </c>
    </row>
    <row r="4" spans="2:17" x14ac:dyDescent="0.4">
      <c r="C4" s="210" t="s">
        <v>122</v>
      </c>
      <c r="D4" s="208"/>
      <c r="E4" s="208"/>
      <c r="F4" s="208"/>
      <c r="G4" s="214"/>
      <c r="H4" s="210" t="s">
        <v>148</v>
      </c>
      <c r="I4" s="208"/>
      <c r="J4" s="208"/>
      <c r="K4" s="94" t="s">
        <v>149</v>
      </c>
      <c r="L4" s="95">
        <v>25</v>
      </c>
      <c r="M4" s="218" t="s">
        <v>150</v>
      </c>
      <c r="N4" s="194"/>
      <c r="O4" s="218" t="s">
        <v>151</v>
      </c>
      <c r="P4" s="207"/>
      <c r="Q4" s="212"/>
    </row>
    <row r="5" spans="2:17" x14ac:dyDescent="0.4">
      <c r="C5" s="215"/>
      <c r="D5" s="216"/>
      <c r="E5" s="216"/>
      <c r="F5" s="216"/>
      <c r="G5" s="217"/>
      <c r="H5" s="215"/>
      <c r="I5" s="216"/>
      <c r="J5" s="216"/>
      <c r="K5" s="96" t="s">
        <v>152</v>
      </c>
      <c r="L5" s="64">
        <v>1</v>
      </c>
      <c r="M5" s="97" t="s">
        <v>153</v>
      </c>
      <c r="N5" s="98">
        <v>1</v>
      </c>
      <c r="O5" s="97" t="s">
        <v>154</v>
      </c>
      <c r="P5" s="99">
        <v>1</v>
      </c>
      <c r="Q5" s="19"/>
    </row>
    <row r="6" spans="2:17" ht="18" thickBot="1" x14ac:dyDescent="0.45">
      <c r="C6" s="69" t="s">
        <v>124</v>
      </c>
      <c r="D6" s="70" t="s">
        <v>125</v>
      </c>
      <c r="E6" s="70" t="s">
        <v>126</v>
      </c>
      <c r="F6" s="70" t="s">
        <v>127</v>
      </c>
      <c r="G6" s="100" t="s">
        <v>128</v>
      </c>
      <c r="H6" s="69" t="s">
        <v>125</v>
      </c>
      <c r="I6" s="70" t="s">
        <v>126</v>
      </c>
      <c r="J6" s="70" t="s">
        <v>124</v>
      </c>
      <c r="K6" s="70" t="s">
        <v>127</v>
      </c>
      <c r="L6" s="71" t="s">
        <v>128</v>
      </c>
      <c r="M6" s="69" t="s">
        <v>125</v>
      </c>
      <c r="N6" s="100" t="s">
        <v>124</v>
      </c>
      <c r="O6" s="69" t="s">
        <v>125</v>
      </c>
      <c r="P6" s="70" t="s">
        <v>124</v>
      </c>
      <c r="Q6" s="71" t="s">
        <v>126</v>
      </c>
    </row>
    <row r="7" spans="2:17" ht="18" thickBot="1" x14ac:dyDescent="0.45">
      <c r="C7" s="26">
        <v>50</v>
      </c>
      <c r="D7" s="16">
        <v>3.42</v>
      </c>
      <c r="E7" s="16">
        <f t="shared" ref="E7:E13" si="0">D7/0.707*2</f>
        <v>9.6746817538896757</v>
      </c>
      <c r="F7" s="16">
        <f>C7/D7</f>
        <v>14.619883040935672</v>
      </c>
      <c r="G7" s="75">
        <f>F7/0.707*2</f>
        <v>41.357519210567673</v>
      </c>
      <c r="H7" s="14">
        <f>D7/L$4</f>
        <v>0.1368</v>
      </c>
      <c r="I7" s="16">
        <f>H7/0.707*2</f>
        <v>0.38698727015558704</v>
      </c>
      <c r="J7" s="16">
        <f>H7*H7/50</f>
        <v>3.7428480000000001E-4</v>
      </c>
      <c r="K7" s="15">
        <f>J7/H7</f>
        <v>2.7360000000000002E-3</v>
      </c>
      <c r="L7" s="75">
        <f>K7/0.707*2</f>
        <v>7.7397454031117403E-3</v>
      </c>
      <c r="M7" s="101" t="e">
        <f t="shared" ref="M7:M13" si="1">H7*N$31/(N$31+P$31)</f>
        <v>#DIV/0!</v>
      </c>
      <c r="N7" s="102" t="e">
        <f t="shared" ref="N7:N13" si="2">M7*M7/(N$31*1000)</f>
        <v>#DIV/0!</v>
      </c>
      <c r="O7" s="14" t="e">
        <f t="shared" ref="O7:O13" si="3">H7*P$31/(N$31+P$31)</f>
        <v>#DIV/0!</v>
      </c>
      <c r="P7" s="103" t="e">
        <f t="shared" ref="P7:P13" si="4">O7*O7/(P$31*1000)</f>
        <v>#DIV/0!</v>
      </c>
      <c r="Q7" s="75" t="e">
        <f>O7/0.707*2</f>
        <v>#DIV/0!</v>
      </c>
    </row>
    <row r="8" spans="2:17" ht="18" thickBot="1" x14ac:dyDescent="0.45">
      <c r="C8" s="20">
        <v>100</v>
      </c>
      <c r="D8" s="6">
        <f t="shared" ref="D8:D13" si="5">(C8*50)^0.5</f>
        <v>70.710678118654755</v>
      </c>
      <c r="E8" s="6">
        <f t="shared" si="0"/>
        <v>200.03020684202195</v>
      </c>
      <c r="F8" s="6">
        <f t="shared" ref="F8:F13" si="6">C8/D8</f>
        <v>1.4142135623730949</v>
      </c>
      <c r="G8" s="68">
        <f t="shared" ref="G8:G13" si="7">F8/0.707*2</f>
        <v>4.0006041368404386</v>
      </c>
      <c r="H8" s="14">
        <f t="shared" ref="H8:H13" si="8">D8/L$4</f>
        <v>2.8284271247461903</v>
      </c>
      <c r="I8" s="104">
        <f t="shared" ref="I8:I13" si="9">H8/0.707*2</f>
        <v>8.0012082736808789</v>
      </c>
      <c r="J8" s="6">
        <f t="shared" ref="J8:J13" si="10">H8*H8/50</f>
        <v>0.16000000000000003</v>
      </c>
      <c r="K8" s="5">
        <f t="shared" ref="K8:K13" si="11">J8/H8</f>
        <v>5.656854249492381E-2</v>
      </c>
      <c r="L8" s="68">
        <f>K8/0.707*2</f>
        <v>0.16002416547361759</v>
      </c>
      <c r="M8" s="18" t="e">
        <f t="shared" si="1"/>
        <v>#DIV/0!</v>
      </c>
      <c r="N8" s="105" t="e">
        <f t="shared" si="2"/>
        <v>#DIV/0!</v>
      </c>
      <c r="O8" s="18" t="e">
        <f t="shared" si="3"/>
        <v>#DIV/0!</v>
      </c>
      <c r="P8" s="106" t="e">
        <f t="shared" si="4"/>
        <v>#DIV/0!</v>
      </c>
      <c r="Q8" s="68" t="e">
        <f t="shared" ref="Q8:Q13" si="12">O8/0.707*2</f>
        <v>#DIV/0!</v>
      </c>
    </row>
    <row r="9" spans="2:17" ht="18" thickBot="1" x14ac:dyDescent="0.45">
      <c r="C9" s="20">
        <v>150</v>
      </c>
      <c r="D9" s="6">
        <f t="shared" si="5"/>
        <v>86.602540378443862</v>
      </c>
      <c r="E9" s="6">
        <f t="shared" si="0"/>
        <v>244.98596995316512</v>
      </c>
      <c r="F9" s="6">
        <f t="shared" si="6"/>
        <v>1.7320508075688774</v>
      </c>
      <c r="G9" s="68">
        <f t="shared" si="7"/>
        <v>4.8997193990633026</v>
      </c>
      <c r="H9" s="14">
        <f t="shared" si="8"/>
        <v>3.4641016151377544</v>
      </c>
      <c r="I9" s="104">
        <f t="shared" si="9"/>
        <v>9.7994387981266033</v>
      </c>
      <c r="J9" s="6">
        <f t="shared" si="10"/>
        <v>0.23999999999999996</v>
      </c>
      <c r="K9" s="5">
        <f t="shared" si="11"/>
        <v>6.9282032302755078E-2</v>
      </c>
      <c r="L9" s="68">
        <f t="shared" ref="L9:L13" si="13">K9/0.707*2</f>
        <v>0.19598877596253206</v>
      </c>
      <c r="M9" s="18" t="e">
        <f t="shared" si="1"/>
        <v>#DIV/0!</v>
      </c>
      <c r="N9" s="105" t="e">
        <f t="shared" si="2"/>
        <v>#DIV/0!</v>
      </c>
      <c r="O9" s="18" t="e">
        <f t="shared" si="3"/>
        <v>#DIV/0!</v>
      </c>
      <c r="P9" s="106" t="e">
        <f t="shared" si="4"/>
        <v>#DIV/0!</v>
      </c>
      <c r="Q9" s="68" t="e">
        <f t="shared" si="12"/>
        <v>#DIV/0!</v>
      </c>
    </row>
    <row r="10" spans="2:17" ht="18" thickBot="1" x14ac:dyDescent="0.45">
      <c r="C10" s="20">
        <v>200</v>
      </c>
      <c r="D10" s="6">
        <f t="shared" si="5"/>
        <v>100</v>
      </c>
      <c r="E10" s="6">
        <f t="shared" si="0"/>
        <v>282.88543140028293</v>
      </c>
      <c r="F10" s="6">
        <f t="shared" si="6"/>
        <v>2</v>
      </c>
      <c r="G10" s="68">
        <f t="shared" si="7"/>
        <v>5.6577086280056577</v>
      </c>
      <c r="H10" s="14">
        <f t="shared" si="8"/>
        <v>4</v>
      </c>
      <c r="I10" s="104">
        <f t="shared" si="9"/>
        <v>11.315417256011315</v>
      </c>
      <c r="J10" s="6">
        <f t="shared" si="10"/>
        <v>0.32</v>
      </c>
      <c r="K10" s="5">
        <f t="shared" si="11"/>
        <v>0.08</v>
      </c>
      <c r="L10" s="68">
        <f t="shared" si="13"/>
        <v>0.22630834512022632</v>
      </c>
      <c r="M10" s="18" t="e">
        <f t="shared" si="1"/>
        <v>#DIV/0!</v>
      </c>
      <c r="N10" s="105" t="e">
        <f t="shared" si="2"/>
        <v>#DIV/0!</v>
      </c>
      <c r="O10" s="18" t="e">
        <f t="shared" si="3"/>
        <v>#DIV/0!</v>
      </c>
      <c r="P10" s="106" t="e">
        <f t="shared" si="4"/>
        <v>#DIV/0!</v>
      </c>
      <c r="Q10" s="68" t="e">
        <f t="shared" si="12"/>
        <v>#DIV/0!</v>
      </c>
    </row>
    <row r="11" spans="2:17" ht="18" thickBot="1" x14ac:dyDescent="0.45">
      <c r="C11" s="20">
        <v>250</v>
      </c>
      <c r="D11" s="6">
        <f t="shared" si="5"/>
        <v>111.80339887498948</v>
      </c>
      <c r="E11" s="6">
        <f t="shared" si="0"/>
        <v>316.27552722769303</v>
      </c>
      <c r="F11" s="6">
        <f t="shared" si="6"/>
        <v>2.2360679774997898</v>
      </c>
      <c r="G11" s="68">
        <f t="shared" si="7"/>
        <v>6.3255105445538611</v>
      </c>
      <c r="H11" s="14">
        <f t="shared" si="8"/>
        <v>4.4721359549995796</v>
      </c>
      <c r="I11" s="104">
        <f t="shared" si="9"/>
        <v>12.651021089107722</v>
      </c>
      <c r="J11" s="6">
        <f t="shared" si="10"/>
        <v>0.40000000000000008</v>
      </c>
      <c r="K11" s="5">
        <f t="shared" si="11"/>
        <v>8.9442719099991602E-2</v>
      </c>
      <c r="L11" s="68">
        <f t="shared" si="13"/>
        <v>0.25302042178215445</v>
      </c>
      <c r="M11" s="18" t="e">
        <f t="shared" si="1"/>
        <v>#DIV/0!</v>
      </c>
      <c r="N11" s="105" t="e">
        <f t="shared" si="2"/>
        <v>#DIV/0!</v>
      </c>
      <c r="O11" s="18" t="e">
        <f t="shared" si="3"/>
        <v>#DIV/0!</v>
      </c>
      <c r="P11" s="106" t="e">
        <f t="shared" si="4"/>
        <v>#DIV/0!</v>
      </c>
      <c r="Q11" s="68" t="e">
        <f t="shared" si="12"/>
        <v>#DIV/0!</v>
      </c>
    </row>
    <row r="12" spans="2:17" ht="18" thickBot="1" x14ac:dyDescent="0.45">
      <c r="C12" s="20">
        <v>300</v>
      </c>
      <c r="D12" s="6">
        <f t="shared" si="5"/>
        <v>122.47448713915891</v>
      </c>
      <c r="E12" s="6">
        <f t="shared" si="0"/>
        <v>346.46248129889369</v>
      </c>
      <c r="F12" s="6">
        <f t="shared" si="6"/>
        <v>2.4494897427831779</v>
      </c>
      <c r="G12" s="68">
        <f t="shared" si="7"/>
        <v>6.9292496259778726</v>
      </c>
      <c r="H12" s="14">
        <f t="shared" si="8"/>
        <v>4.8989794855663567</v>
      </c>
      <c r="I12" s="104">
        <f t="shared" si="9"/>
        <v>13.858499251955749</v>
      </c>
      <c r="J12" s="6">
        <f t="shared" si="10"/>
        <v>0.48000000000000009</v>
      </c>
      <c r="K12" s="5">
        <f t="shared" si="11"/>
        <v>9.7979589711327128E-2</v>
      </c>
      <c r="L12" s="68">
        <f t="shared" si="13"/>
        <v>0.27716998503911494</v>
      </c>
      <c r="M12" s="18" t="e">
        <f t="shared" si="1"/>
        <v>#DIV/0!</v>
      </c>
      <c r="N12" s="105" t="e">
        <f t="shared" si="2"/>
        <v>#DIV/0!</v>
      </c>
      <c r="O12" s="18" t="e">
        <f t="shared" si="3"/>
        <v>#DIV/0!</v>
      </c>
      <c r="P12" s="106" t="e">
        <f t="shared" si="4"/>
        <v>#DIV/0!</v>
      </c>
      <c r="Q12" s="68" t="e">
        <f t="shared" si="12"/>
        <v>#DIV/0!</v>
      </c>
    </row>
    <row r="13" spans="2:17" ht="18" thickBot="1" x14ac:dyDescent="0.45">
      <c r="C13" s="21">
        <v>350</v>
      </c>
      <c r="D13" s="81">
        <f t="shared" si="5"/>
        <v>132.28756555322954</v>
      </c>
      <c r="E13" s="81">
        <f t="shared" si="0"/>
        <v>374.22225050418541</v>
      </c>
      <c r="F13" s="81">
        <f t="shared" si="6"/>
        <v>2.6457513110645903</v>
      </c>
      <c r="G13" s="82">
        <f t="shared" si="7"/>
        <v>7.4844450100837072</v>
      </c>
      <c r="H13" s="14">
        <f t="shared" si="8"/>
        <v>5.2915026221291814</v>
      </c>
      <c r="I13" s="108">
        <f t="shared" si="9"/>
        <v>14.968890020167416</v>
      </c>
      <c r="J13" s="81">
        <f t="shared" si="10"/>
        <v>0.56000000000000005</v>
      </c>
      <c r="K13" s="51">
        <f t="shared" si="11"/>
        <v>0.10583005244258363</v>
      </c>
      <c r="L13" s="82">
        <f t="shared" si="13"/>
        <v>0.29937780040334833</v>
      </c>
      <c r="M13" s="83" t="e">
        <f t="shared" si="1"/>
        <v>#DIV/0!</v>
      </c>
      <c r="N13" s="109" t="e">
        <f t="shared" si="2"/>
        <v>#DIV/0!</v>
      </c>
      <c r="O13" s="83" t="e">
        <f t="shared" si="3"/>
        <v>#DIV/0!</v>
      </c>
      <c r="P13" s="110" t="e">
        <f t="shared" si="4"/>
        <v>#DIV/0!</v>
      </c>
      <c r="Q13" s="82" t="e">
        <f t="shared" si="12"/>
        <v>#DIV/0!</v>
      </c>
    </row>
    <row r="14" spans="2:17" x14ac:dyDescent="0.4">
      <c r="D14" s="111"/>
      <c r="E14" s="111"/>
      <c r="F14" s="111"/>
      <c r="G14" s="111"/>
      <c r="H14" s="112"/>
      <c r="I14" s="111"/>
      <c r="J14" s="111"/>
      <c r="K14" s="112"/>
      <c r="L14" s="111"/>
      <c r="M14" s="112"/>
      <c r="N14" s="113"/>
      <c r="O14" s="112"/>
      <c r="P14" s="113"/>
      <c r="Q14" s="111"/>
    </row>
    <row r="15" spans="2:17" ht="18" thickBot="1" x14ac:dyDescent="0.45">
      <c r="C15" t="s">
        <v>155</v>
      </c>
    </row>
    <row r="16" spans="2:17" x14ac:dyDescent="0.4">
      <c r="C16" s="210" t="s">
        <v>122</v>
      </c>
      <c r="D16" s="208"/>
      <c r="E16" s="208"/>
      <c r="F16" s="208"/>
      <c r="G16" s="219"/>
      <c r="H16" s="221" t="s">
        <v>156</v>
      </c>
      <c r="I16" s="208"/>
      <c r="J16" s="208"/>
      <c r="K16" s="94" t="s">
        <v>149</v>
      </c>
      <c r="L16" s="95">
        <v>1</v>
      </c>
      <c r="M16" s="218" t="s">
        <v>150</v>
      </c>
      <c r="N16" s="194"/>
      <c r="O16" s="218" t="s">
        <v>151</v>
      </c>
      <c r="P16" s="207"/>
      <c r="Q16" s="212"/>
    </row>
    <row r="17" spans="3:17" x14ac:dyDescent="0.4">
      <c r="C17" s="215"/>
      <c r="D17" s="216"/>
      <c r="E17" s="216"/>
      <c r="F17" s="216"/>
      <c r="G17" s="220"/>
      <c r="H17" s="222"/>
      <c r="I17" s="216"/>
      <c r="J17" s="216"/>
      <c r="K17" s="96" t="s">
        <v>152</v>
      </c>
      <c r="L17" s="64">
        <v>25</v>
      </c>
      <c r="M17" s="97" t="s">
        <v>153</v>
      </c>
      <c r="N17" s="98">
        <v>1</v>
      </c>
      <c r="O17" s="97" t="s">
        <v>157</v>
      </c>
      <c r="P17" s="99">
        <v>1</v>
      </c>
      <c r="Q17" s="19"/>
    </row>
    <row r="18" spans="3:17" ht="18" thickBot="1" x14ac:dyDescent="0.45">
      <c r="C18" s="69" t="s">
        <v>185</v>
      </c>
      <c r="D18" s="70" t="s">
        <v>125</v>
      </c>
      <c r="E18" s="70" t="s">
        <v>126</v>
      </c>
      <c r="F18" s="70" t="s">
        <v>127</v>
      </c>
      <c r="G18" s="71" t="s">
        <v>128</v>
      </c>
      <c r="H18" s="114" t="s">
        <v>127</v>
      </c>
      <c r="I18" s="74" t="s">
        <v>128</v>
      </c>
      <c r="J18" s="72" t="s">
        <v>125</v>
      </c>
      <c r="K18" s="73" t="s">
        <v>126</v>
      </c>
      <c r="L18" s="73" t="s">
        <v>124</v>
      </c>
      <c r="M18" s="72" t="s">
        <v>125</v>
      </c>
      <c r="N18" s="115" t="s">
        <v>124</v>
      </c>
      <c r="O18" s="72" t="s">
        <v>125</v>
      </c>
      <c r="P18" s="73" t="s">
        <v>124</v>
      </c>
      <c r="Q18" s="74" t="s">
        <v>126</v>
      </c>
    </row>
    <row r="19" spans="3:17" x14ac:dyDescent="0.4">
      <c r="C19" s="26">
        <v>50</v>
      </c>
      <c r="D19" s="16">
        <v>3.42</v>
      </c>
      <c r="E19" s="16">
        <f t="shared" ref="E19:E25" si="14">D19/0.707*2</f>
        <v>9.6746817538896757</v>
      </c>
      <c r="F19" s="15">
        <f>D19/C19</f>
        <v>6.8400000000000002E-2</v>
      </c>
      <c r="G19" s="136">
        <f>F19/0.707*2</f>
        <v>0.19349363507779352</v>
      </c>
      <c r="H19" s="137">
        <f>F19/L$17</f>
        <v>2.7360000000000002E-3</v>
      </c>
      <c r="I19" s="103">
        <f>H19/0.707*2</f>
        <v>7.7397454031117403E-3</v>
      </c>
      <c r="J19" s="15">
        <f>H19*50</f>
        <v>0.1368</v>
      </c>
      <c r="K19" s="16">
        <f>J19/0.707*2</f>
        <v>0.38698727015558704</v>
      </c>
      <c r="L19" s="75">
        <f>H19*J19</f>
        <v>3.7428480000000001E-4</v>
      </c>
      <c r="M19" s="14" t="e">
        <f>J19*N$31/(N$31+P$31)</f>
        <v>#DIV/0!</v>
      </c>
      <c r="N19" s="117" t="e">
        <f t="shared" ref="N19:N25" si="15">M19*M19/(N$31*1000)</f>
        <v>#DIV/0!</v>
      </c>
      <c r="O19" s="14" t="e">
        <f>J19*P$31/(N$31+P$31)</f>
        <v>#DIV/0!</v>
      </c>
      <c r="P19" s="103" t="e">
        <f t="shared" ref="P19:P25" si="16">O19*O19/(P$31*1000)</f>
        <v>#DIV/0!</v>
      </c>
      <c r="Q19" s="75" t="e">
        <f>O19/0.707*2</f>
        <v>#DIV/0!</v>
      </c>
    </row>
    <row r="20" spans="3:17" x14ac:dyDescent="0.4">
      <c r="C20" s="20">
        <v>100</v>
      </c>
      <c r="D20" s="6">
        <f t="shared" ref="D20:D25" si="17">(C20*50)^0.5</f>
        <v>70.710678118654755</v>
      </c>
      <c r="E20" s="6">
        <f t="shared" si="14"/>
        <v>200.03020684202195</v>
      </c>
      <c r="F20" s="6">
        <f t="shared" ref="F20:F25" si="18">C20/D20</f>
        <v>1.4142135623730949</v>
      </c>
      <c r="G20" s="118">
        <f t="shared" ref="G20:G25" si="19">F20/0.707*2</f>
        <v>4.0006041368404386</v>
      </c>
      <c r="H20" s="18" t="e">
        <f t="shared" ref="H20:H25" si="20">F20/L$43</f>
        <v>#DIV/0!</v>
      </c>
      <c r="I20" s="6" t="e">
        <f t="shared" ref="I20:I25" si="21">H20/0.707*2</f>
        <v>#DIV/0!</v>
      </c>
      <c r="J20" s="5" t="e">
        <f t="shared" ref="J20:J25" si="22">H20*50</f>
        <v>#DIV/0!</v>
      </c>
      <c r="K20" s="6" t="e">
        <f t="shared" ref="K20:K25" si="23">J20/0.707*2</f>
        <v>#DIV/0!</v>
      </c>
      <c r="L20" s="68" t="e">
        <f t="shared" ref="L20:L25" si="24">H20*J20</f>
        <v>#DIV/0!</v>
      </c>
      <c r="M20" s="18" t="e">
        <f t="shared" ref="M20:M25" si="25">J20*N$31/(N$31+P$31)</f>
        <v>#DIV/0!</v>
      </c>
      <c r="N20" s="119" t="e">
        <f t="shared" si="15"/>
        <v>#DIV/0!</v>
      </c>
      <c r="O20" s="18" t="e">
        <f t="shared" ref="O20:O25" si="26">J20*P$31/(N$31+P$31)</f>
        <v>#DIV/0!</v>
      </c>
      <c r="P20" s="106" t="e">
        <f t="shared" si="16"/>
        <v>#DIV/0!</v>
      </c>
      <c r="Q20" s="68" t="e">
        <f t="shared" ref="Q20:Q25" si="27">O20/0.707*2</f>
        <v>#DIV/0!</v>
      </c>
    </row>
    <row r="21" spans="3:17" x14ac:dyDescent="0.4">
      <c r="C21" s="20">
        <v>150</v>
      </c>
      <c r="D21" s="6">
        <f t="shared" si="17"/>
        <v>86.602540378443862</v>
      </c>
      <c r="E21" s="6">
        <f t="shared" si="14"/>
        <v>244.98596995316512</v>
      </c>
      <c r="F21" s="6">
        <f t="shared" si="18"/>
        <v>1.7320508075688774</v>
      </c>
      <c r="G21" s="118">
        <f t="shared" si="19"/>
        <v>4.8997193990633026</v>
      </c>
      <c r="H21" s="18" t="e">
        <f t="shared" si="20"/>
        <v>#DIV/0!</v>
      </c>
      <c r="I21" s="6" t="e">
        <f t="shared" si="21"/>
        <v>#DIV/0!</v>
      </c>
      <c r="J21" s="5" t="e">
        <f t="shared" si="22"/>
        <v>#DIV/0!</v>
      </c>
      <c r="K21" s="6" t="e">
        <f t="shared" si="23"/>
        <v>#DIV/0!</v>
      </c>
      <c r="L21" s="68" t="e">
        <f t="shared" si="24"/>
        <v>#DIV/0!</v>
      </c>
      <c r="M21" s="18" t="e">
        <f t="shared" si="25"/>
        <v>#DIV/0!</v>
      </c>
      <c r="N21" s="119" t="e">
        <f t="shared" si="15"/>
        <v>#DIV/0!</v>
      </c>
      <c r="O21" s="18" t="e">
        <f t="shared" si="26"/>
        <v>#DIV/0!</v>
      </c>
      <c r="P21" s="106" t="e">
        <f t="shared" si="16"/>
        <v>#DIV/0!</v>
      </c>
      <c r="Q21" s="68" t="e">
        <f t="shared" si="27"/>
        <v>#DIV/0!</v>
      </c>
    </row>
    <row r="22" spans="3:17" x14ac:dyDescent="0.4">
      <c r="C22" s="20">
        <v>200</v>
      </c>
      <c r="D22" s="6">
        <f t="shared" si="17"/>
        <v>100</v>
      </c>
      <c r="E22" s="6">
        <f t="shared" si="14"/>
        <v>282.88543140028293</v>
      </c>
      <c r="F22" s="6">
        <f t="shared" si="18"/>
        <v>2</v>
      </c>
      <c r="G22" s="118">
        <f t="shared" si="19"/>
        <v>5.6577086280056577</v>
      </c>
      <c r="H22" s="18" t="e">
        <f t="shared" si="20"/>
        <v>#DIV/0!</v>
      </c>
      <c r="I22" s="6" t="e">
        <f t="shared" si="21"/>
        <v>#DIV/0!</v>
      </c>
      <c r="J22" s="5" t="e">
        <f t="shared" si="22"/>
        <v>#DIV/0!</v>
      </c>
      <c r="K22" s="6" t="e">
        <f t="shared" si="23"/>
        <v>#DIV/0!</v>
      </c>
      <c r="L22" s="68" t="e">
        <f t="shared" si="24"/>
        <v>#DIV/0!</v>
      </c>
      <c r="M22" s="18" t="e">
        <f t="shared" si="25"/>
        <v>#DIV/0!</v>
      </c>
      <c r="N22" s="119" t="e">
        <f t="shared" si="15"/>
        <v>#DIV/0!</v>
      </c>
      <c r="O22" s="18" t="e">
        <f t="shared" si="26"/>
        <v>#DIV/0!</v>
      </c>
      <c r="P22" s="106" t="e">
        <f t="shared" si="16"/>
        <v>#DIV/0!</v>
      </c>
      <c r="Q22" s="68" t="e">
        <f t="shared" si="27"/>
        <v>#DIV/0!</v>
      </c>
    </row>
    <row r="23" spans="3:17" x14ac:dyDescent="0.4">
      <c r="C23" s="20">
        <v>250</v>
      </c>
      <c r="D23" s="6">
        <f t="shared" si="17"/>
        <v>111.80339887498948</v>
      </c>
      <c r="E23" s="6">
        <f t="shared" si="14"/>
        <v>316.27552722769303</v>
      </c>
      <c r="F23" s="6">
        <f t="shared" si="18"/>
        <v>2.2360679774997898</v>
      </c>
      <c r="G23" s="118">
        <f t="shared" si="19"/>
        <v>6.3255105445538611</v>
      </c>
      <c r="H23" s="18" t="e">
        <f t="shared" si="20"/>
        <v>#DIV/0!</v>
      </c>
      <c r="I23" s="6" t="e">
        <f t="shared" si="21"/>
        <v>#DIV/0!</v>
      </c>
      <c r="J23" s="5" t="e">
        <f t="shared" si="22"/>
        <v>#DIV/0!</v>
      </c>
      <c r="K23" s="6" t="e">
        <f t="shared" si="23"/>
        <v>#DIV/0!</v>
      </c>
      <c r="L23" s="68" t="e">
        <f t="shared" si="24"/>
        <v>#DIV/0!</v>
      </c>
      <c r="M23" s="18" t="e">
        <f t="shared" si="25"/>
        <v>#DIV/0!</v>
      </c>
      <c r="N23" s="119" t="e">
        <f t="shared" si="15"/>
        <v>#DIV/0!</v>
      </c>
      <c r="O23" s="18" t="e">
        <f t="shared" si="26"/>
        <v>#DIV/0!</v>
      </c>
      <c r="P23" s="106" t="e">
        <f t="shared" si="16"/>
        <v>#DIV/0!</v>
      </c>
      <c r="Q23" s="68" t="e">
        <f t="shared" si="27"/>
        <v>#DIV/0!</v>
      </c>
    </row>
    <row r="24" spans="3:17" x14ac:dyDescent="0.4">
      <c r="C24" s="20">
        <v>300</v>
      </c>
      <c r="D24" s="6">
        <f t="shared" si="17"/>
        <v>122.47448713915891</v>
      </c>
      <c r="E24" s="6">
        <f t="shared" si="14"/>
        <v>346.46248129889369</v>
      </c>
      <c r="F24" s="6">
        <f t="shared" si="18"/>
        <v>2.4494897427831779</v>
      </c>
      <c r="G24" s="118">
        <f t="shared" si="19"/>
        <v>6.9292496259778726</v>
      </c>
      <c r="H24" s="18" t="e">
        <f t="shared" si="20"/>
        <v>#DIV/0!</v>
      </c>
      <c r="I24" s="6" t="e">
        <f t="shared" si="21"/>
        <v>#DIV/0!</v>
      </c>
      <c r="J24" s="5" t="e">
        <f t="shared" si="22"/>
        <v>#DIV/0!</v>
      </c>
      <c r="K24" s="6" t="e">
        <f t="shared" si="23"/>
        <v>#DIV/0!</v>
      </c>
      <c r="L24" s="68" t="e">
        <f t="shared" si="24"/>
        <v>#DIV/0!</v>
      </c>
      <c r="M24" s="18" t="e">
        <f t="shared" si="25"/>
        <v>#DIV/0!</v>
      </c>
      <c r="N24" s="119" t="e">
        <f t="shared" si="15"/>
        <v>#DIV/0!</v>
      </c>
      <c r="O24" s="18" t="e">
        <f t="shared" si="26"/>
        <v>#DIV/0!</v>
      </c>
      <c r="P24" s="106" t="e">
        <f t="shared" si="16"/>
        <v>#DIV/0!</v>
      </c>
      <c r="Q24" s="68" t="e">
        <f t="shared" si="27"/>
        <v>#DIV/0!</v>
      </c>
    </row>
    <row r="25" spans="3:17" ht="18" thickBot="1" x14ac:dyDescent="0.45">
      <c r="C25" s="21">
        <v>350</v>
      </c>
      <c r="D25" s="81">
        <f t="shared" si="17"/>
        <v>132.28756555322954</v>
      </c>
      <c r="E25" s="81">
        <f t="shared" si="14"/>
        <v>374.22225050418541</v>
      </c>
      <c r="F25" s="81">
        <f t="shared" si="18"/>
        <v>2.6457513110645903</v>
      </c>
      <c r="G25" s="120">
        <f t="shared" si="19"/>
        <v>7.4844450100837072</v>
      </c>
      <c r="H25" s="83" t="e">
        <f t="shared" si="20"/>
        <v>#DIV/0!</v>
      </c>
      <c r="I25" s="81" t="e">
        <f t="shared" si="21"/>
        <v>#DIV/0!</v>
      </c>
      <c r="J25" s="51" t="e">
        <f t="shared" si="22"/>
        <v>#DIV/0!</v>
      </c>
      <c r="K25" s="81" t="e">
        <f t="shared" si="23"/>
        <v>#DIV/0!</v>
      </c>
      <c r="L25" s="82" t="e">
        <f t="shared" si="24"/>
        <v>#DIV/0!</v>
      </c>
      <c r="M25" s="83" t="e">
        <f t="shared" si="25"/>
        <v>#DIV/0!</v>
      </c>
      <c r="N25" s="121" t="e">
        <f t="shared" si="15"/>
        <v>#DIV/0!</v>
      </c>
      <c r="O25" s="83" t="e">
        <f t="shared" si="26"/>
        <v>#DIV/0!</v>
      </c>
      <c r="P25" s="110" t="e">
        <f t="shared" si="16"/>
        <v>#DIV/0!</v>
      </c>
      <c r="Q25" s="82" t="e">
        <f t="shared" si="27"/>
        <v>#DIV/0!</v>
      </c>
    </row>
  </sheetData>
  <mergeCells count="8">
    <mergeCell ref="C4:G5"/>
    <mergeCell ref="H4:J5"/>
    <mergeCell ref="M4:N4"/>
    <mergeCell ref="O4:Q4"/>
    <mergeCell ref="C16:G17"/>
    <mergeCell ref="H16:J17"/>
    <mergeCell ref="M16:N16"/>
    <mergeCell ref="O16:Q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AFC8-AC9B-4301-9E40-D1EDBAB871FE}">
  <sheetPr>
    <pageSetUpPr fitToPage="1"/>
  </sheetPr>
  <dimension ref="A1"/>
  <sheetViews>
    <sheetView workbookViewId="0">
      <selection activeCell="T11" sqref="T11"/>
    </sheetView>
  </sheetViews>
  <sheetFormatPr defaultRowHeight="17.399999999999999" x14ac:dyDescent="0.4"/>
  <sheetData/>
  <phoneticPr fontId="1" type="noConversion"/>
  <pageMargins left="0.25" right="0.25" top="0.75" bottom="0.75" header="0.3" footer="0.3"/>
  <pageSetup paperSize="9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Reference</vt:lpstr>
      <vt:lpstr>System Budget</vt:lpstr>
      <vt:lpstr>Power</vt:lpstr>
      <vt:lpstr>FILTER</vt:lpstr>
      <vt:lpstr>Core</vt:lpstr>
      <vt:lpstr>COREf</vt:lpstr>
      <vt:lpstr>Coupler</vt:lpstr>
      <vt:lpstr>Sheet4</vt:lpstr>
      <vt:lpstr>HeatSink</vt:lpstr>
      <vt:lpstr>배치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cp:lastPrinted>2020-02-26T03:07:23Z</cp:lastPrinted>
  <dcterms:created xsi:type="dcterms:W3CDTF">2015-06-05T18:19:34Z</dcterms:created>
  <dcterms:modified xsi:type="dcterms:W3CDTF">2020-02-28T09:04:05Z</dcterms:modified>
</cp:coreProperties>
</file>