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\Diploma in Data Science\Business Data Management\Capstone Project\Data\Sales\"/>
    </mc:Choice>
  </mc:AlternateContent>
  <xr:revisionPtr revIDLastSave="1" documentId="13_ncr:1_{435E0965-A48C-4E74-AD3A-DB4514BE078D}" xr6:coauthVersionLast="47" xr6:coauthVersionMax="47" xr10:uidLastSave="{C99A6843-CF3B-443A-94A4-70DE2B0C83BA}"/>
  <bookViews>
    <workbookView xWindow="-110" yWindow="-110" windowWidth="19420" windowHeight="10420" tabRatio="909" firstSheet="2" activeTab="1" xr2:uid="{F05524D9-44DB-44D0-8EB0-D4B61B239077}"/>
  </bookViews>
  <sheets>
    <sheet name="May 2020 - Daily Ledger" sheetId="1" r:id="rId1"/>
    <sheet name="May 2020 - Daily Sales" sheetId="5" r:id="rId2"/>
    <sheet name="May 2020 - Pivot" sheetId="9" r:id="rId3"/>
    <sheet name="Oct 2021 - Daily Ledger" sheetId="4" r:id="rId4"/>
    <sheet name="Oct 2021 - Daily Sales" sheetId="6" r:id="rId5"/>
    <sheet name="Oct 2021 - Pivot" sheetId="13" r:id="rId6"/>
    <sheet name="Oct 2021 - Weekly Ledger" sheetId="8" r:id="rId7"/>
    <sheet name="Oct 2021 - Monthly Sales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xlnm._FilterDatabase" localSheetId="4" hidden="1">'Oct 2021 - Daily Sales'!#REF!</definedName>
    <definedName name="_xlnm._FilterDatabase" localSheetId="5" hidden="1">'Oct 2021 - Pivot'!$A$115:$AD$115</definedName>
    <definedName name="_xlchart.v1.0" hidden="1">'May 2020 - Pivot'!$E$4:$E$20</definedName>
    <definedName name="_xlchart.v1.1" hidden="1">'May 2020 - Pivot'!$G$4:$G$20</definedName>
    <definedName name="_xlchart.v1.2" hidden="1">'Oct 2021 - Pivot'!$E$20:$E$32</definedName>
    <definedName name="_xlchart.v1.3" hidden="1">'Oct 2021 - Pivot'!$F$19</definedName>
    <definedName name="_xlchart.v1.4" hidden="1">'Oct 2021 - Pivot'!$F$20:$F$32</definedName>
    <definedName name="_xlchart.v1.5" hidden="1">'Oct 2021 - Pivot'!$E$54:$E$66</definedName>
    <definedName name="_xlchart.v1.6" hidden="1">'Oct 2021 - Pivot'!$F$53</definedName>
    <definedName name="_xlchart.v1.7" hidden="1">'Oct 2021 - Pivot'!$F$54:$F$66</definedName>
  </definedNames>
  <calcPr calcId="191028"/>
  <pivotCaches>
    <pivotCache cacheId="0" r:id="rId71"/>
    <pivotCache cacheId="1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I3" i="8"/>
  <c r="M3" i="8"/>
  <c r="Q3" i="8"/>
  <c r="R3" i="8"/>
  <c r="O4" i="8"/>
  <c r="K4" i="8"/>
  <c r="G4" i="8"/>
  <c r="C4" i="8"/>
  <c r="R4" i="8"/>
  <c r="O5" i="8"/>
  <c r="K5" i="8"/>
  <c r="G5" i="8"/>
  <c r="C5" i="8"/>
  <c r="R5" i="8"/>
  <c r="O6" i="8"/>
  <c r="K6" i="8"/>
  <c r="G6" i="8"/>
  <c r="C6" i="8"/>
  <c r="R6" i="8"/>
  <c r="O7" i="8"/>
  <c r="K7" i="8"/>
  <c r="G7" i="8"/>
  <c r="C7" i="8"/>
  <c r="R7" i="8"/>
  <c r="R8" i="8"/>
  <c r="R9" i="8"/>
  <c r="R10" i="8"/>
  <c r="I8" i="8"/>
  <c r="J8" i="8"/>
  <c r="M8" i="8"/>
  <c r="N8" i="8"/>
  <c r="Q8" i="8"/>
  <c r="E8" i="8"/>
  <c r="I5" i="8"/>
  <c r="J5" i="8"/>
  <c r="I6" i="8"/>
  <c r="I7" i="8"/>
  <c r="J7" i="8"/>
  <c r="I4" i="8"/>
  <c r="Q5" i="8"/>
  <c r="Q6" i="8"/>
  <c r="Q7" i="8"/>
  <c r="Q4" i="8"/>
  <c r="M5" i="8"/>
  <c r="N5" i="8"/>
  <c r="M6" i="8"/>
  <c r="N6" i="8"/>
  <c r="M7" i="8"/>
  <c r="N7" i="8"/>
  <c r="M4" i="8"/>
  <c r="N4" i="8"/>
  <c r="J6" i="8"/>
  <c r="J4" i="8"/>
  <c r="E5" i="8"/>
  <c r="F5" i="8"/>
  <c r="E6" i="8"/>
  <c r="F6" i="8"/>
  <c r="E7" i="8"/>
  <c r="F7" i="8"/>
  <c r="E4" i="8"/>
  <c r="F4" i="8"/>
  <c r="E10" i="8"/>
  <c r="F10" i="8"/>
  <c r="I10" i="8"/>
  <c r="J10" i="8"/>
  <c r="M10" i="8"/>
  <c r="N10" i="8"/>
  <c r="Q10" i="8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C15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E9" i="8"/>
  <c r="F9" i="8"/>
  <c r="I9" i="8"/>
  <c r="J9" i="8"/>
  <c r="M9" i="8"/>
  <c r="N9" i="8"/>
  <c r="Q9" i="8"/>
  <c r="B2" i="4"/>
  <c r="D2" i="4"/>
  <c r="F2" i="4"/>
  <c r="H2" i="4"/>
  <c r="J2" i="4"/>
  <c r="L2" i="4"/>
  <c r="N2" i="4"/>
  <c r="P2" i="4"/>
  <c r="R2" i="4"/>
  <c r="T2" i="4"/>
  <c r="V2" i="4"/>
  <c r="X2" i="4"/>
  <c r="Z2" i="4"/>
  <c r="AB2" i="4"/>
  <c r="AD2" i="4"/>
  <c r="AF2" i="4"/>
  <c r="AH2" i="4"/>
  <c r="AJ2" i="4"/>
  <c r="AL2" i="4"/>
  <c r="AN2" i="4"/>
  <c r="AP2" i="4"/>
  <c r="AR2" i="4"/>
  <c r="AT2" i="4"/>
  <c r="AV2" i="4"/>
  <c r="AX2" i="4"/>
  <c r="AZ2" i="4"/>
  <c r="BB2" i="4"/>
  <c r="BD2" i="4"/>
  <c r="BF2" i="4"/>
  <c r="BH2" i="4"/>
  <c r="BJ2" i="4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J5" i="4"/>
  <c r="BK5" i="4"/>
  <c r="BJ6" i="4"/>
  <c r="BK6" i="4"/>
  <c r="BJ7" i="4"/>
  <c r="BK7" i="4"/>
  <c r="BJ8" i="4"/>
  <c r="BK8" i="4"/>
  <c r="BJ9" i="4"/>
  <c r="BK9" i="4"/>
  <c r="BJ10" i="4"/>
  <c r="BK10" i="4"/>
  <c r="BJ11" i="4"/>
  <c r="BK11" i="4"/>
  <c r="BJ12" i="4"/>
  <c r="BK12" i="4"/>
  <c r="BJ13" i="4"/>
  <c r="BK13" i="4"/>
  <c r="BJ14" i="4"/>
  <c r="BK14" i="4"/>
  <c r="BJ15" i="4"/>
  <c r="BK15" i="4"/>
  <c r="BJ16" i="4"/>
  <c r="BK16" i="4"/>
  <c r="BJ17" i="4"/>
  <c r="BK17" i="4"/>
  <c r="BJ18" i="4"/>
  <c r="BK18" i="4"/>
  <c r="BJ19" i="4"/>
  <c r="BK19" i="4"/>
  <c r="BJ20" i="4"/>
  <c r="BK20" i="4"/>
  <c r="BK4" i="4"/>
  <c r="BK21" i="4"/>
  <c r="BJ4" i="4"/>
  <c r="BJ21" i="4"/>
  <c r="BH5" i="4"/>
  <c r="BI5" i="4"/>
  <c r="BH6" i="4"/>
  <c r="BI6" i="4"/>
  <c r="BH7" i="4"/>
  <c r="BI7" i="4"/>
  <c r="BH8" i="4"/>
  <c r="BI8" i="4"/>
  <c r="BH9" i="4"/>
  <c r="BI9" i="4"/>
  <c r="BH10" i="4"/>
  <c r="BI10" i="4"/>
  <c r="BH11" i="4"/>
  <c r="BI11" i="4"/>
  <c r="BH12" i="4"/>
  <c r="BI12" i="4"/>
  <c r="BH13" i="4"/>
  <c r="BI13" i="4"/>
  <c r="BH14" i="4"/>
  <c r="BI14" i="4"/>
  <c r="BH15" i="4"/>
  <c r="BI15" i="4"/>
  <c r="BH16" i="4"/>
  <c r="BI16" i="4"/>
  <c r="BH17" i="4"/>
  <c r="BI17" i="4"/>
  <c r="BH18" i="4"/>
  <c r="BI18" i="4"/>
  <c r="BH19" i="4"/>
  <c r="BI19" i="4"/>
  <c r="BH20" i="4"/>
  <c r="BI20" i="4"/>
  <c r="BI4" i="4"/>
  <c r="BH4" i="4"/>
  <c r="BF5" i="4"/>
  <c r="BG5" i="4"/>
  <c r="BF6" i="4"/>
  <c r="BG6" i="4"/>
  <c r="BF7" i="4"/>
  <c r="BG7" i="4"/>
  <c r="BF8" i="4"/>
  <c r="BG8" i="4"/>
  <c r="BF9" i="4"/>
  <c r="BG9" i="4"/>
  <c r="BF10" i="4"/>
  <c r="BG10" i="4"/>
  <c r="BF11" i="4"/>
  <c r="BG11" i="4"/>
  <c r="BF12" i="4"/>
  <c r="BG12" i="4"/>
  <c r="BF13" i="4"/>
  <c r="BG13" i="4"/>
  <c r="BF14" i="4"/>
  <c r="BG14" i="4"/>
  <c r="BF15" i="4"/>
  <c r="BG15" i="4"/>
  <c r="BF16" i="4"/>
  <c r="BG16" i="4"/>
  <c r="BF17" i="4"/>
  <c r="BG17" i="4"/>
  <c r="BF18" i="4"/>
  <c r="BG18" i="4"/>
  <c r="BF19" i="4"/>
  <c r="BG19" i="4"/>
  <c r="BF20" i="4"/>
  <c r="BG20" i="4"/>
  <c r="BG4" i="4"/>
  <c r="BF4" i="4"/>
  <c r="BD5" i="4"/>
  <c r="BE5" i="4"/>
  <c r="BD6" i="4"/>
  <c r="BE6" i="4"/>
  <c r="BD7" i="4"/>
  <c r="BE7" i="4"/>
  <c r="BD8" i="4"/>
  <c r="BE8" i="4"/>
  <c r="BD9" i="4"/>
  <c r="BE9" i="4"/>
  <c r="BD10" i="4"/>
  <c r="BE10" i="4"/>
  <c r="BD11" i="4"/>
  <c r="BE11" i="4"/>
  <c r="BD12" i="4"/>
  <c r="BE12" i="4"/>
  <c r="BD13" i="4"/>
  <c r="BE13" i="4"/>
  <c r="BD14" i="4"/>
  <c r="BE14" i="4"/>
  <c r="BD15" i="4"/>
  <c r="BE15" i="4"/>
  <c r="BD16" i="4"/>
  <c r="BE16" i="4"/>
  <c r="BD17" i="4"/>
  <c r="BE17" i="4"/>
  <c r="BD18" i="4"/>
  <c r="BE18" i="4"/>
  <c r="BD19" i="4"/>
  <c r="BE19" i="4"/>
  <c r="BD20" i="4"/>
  <c r="BE20" i="4"/>
  <c r="BE4" i="4"/>
  <c r="BD4" i="4"/>
  <c r="BB5" i="4"/>
  <c r="BC5" i="4"/>
  <c r="BB6" i="4"/>
  <c r="BC6" i="4"/>
  <c r="BB7" i="4"/>
  <c r="BC7" i="4"/>
  <c r="BB8" i="4"/>
  <c r="BC8" i="4"/>
  <c r="BB9" i="4"/>
  <c r="BC9" i="4"/>
  <c r="BB10" i="4"/>
  <c r="BC10" i="4"/>
  <c r="BB11" i="4"/>
  <c r="BC11" i="4"/>
  <c r="BB12" i="4"/>
  <c r="BC12" i="4"/>
  <c r="BB13" i="4"/>
  <c r="BC13" i="4"/>
  <c r="BB14" i="4"/>
  <c r="BC14" i="4"/>
  <c r="BB15" i="4"/>
  <c r="BC15" i="4"/>
  <c r="BB16" i="4"/>
  <c r="BC16" i="4"/>
  <c r="BB17" i="4"/>
  <c r="BC17" i="4"/>
  <c r="BB18" i="4"/>
  <c r="BC18" i="4"/>
  <c r="BB19" i="4"/>
  <c r="BC19" i="4"/>
  <c r="BB20" i="4"/>
  <c r="BC20" i="4"/>
  <c r="BC4" i="4"/>
  <c r="BB4" i="4"/>
  <c r="AZ5" i="4"/>
  <c r="BA5" i="4"/>
  <c r="AZ6" i="4"/>
  <c r="BA6" i="4"/>
  <c r="AZ7" i="4"/>
  <c r="BA7" i="4"/>
  <c r="AZ8" i="4"/>
  <c r="BA8" i="4"/>
  <c r="AZ9" i="4"/>
  <c r="BA9" i="4"/>
  <c r="AZ10" i="4"/>
  <c r="BA10" i="4"/>
  <c r="AZ11" i="4"/>
  <c r="BA11" i="4"/>
  <c r="AZ12" i="4"/>
  <c r="BA12" i="4"/>
  <c r="AZ13" i="4"/>
  <c r="BA13" i="4"/>
  <c r="AZ14" i="4"/>
  <c r="BA14" i="4"/>
  <c r="AZ15" i="4"/>
  <c r="BA15" i="4"/>
  <c r="AZ16" i="4"/>
  <c r="BA16" i="4"/>
  <c r="AZ17" i="4"/>
  <c r="BA17" i="4"/>
  <c r="AZ18" i="4"/>
  <c r="BA18" i="4"/>
  <c r="AZ19" i="4"/>
  <c r="BA19" i="4"/>
  <c r="AZ20" i="4"/>
  <c r="BA20" i="4"/>
  <c r="BA4" i="4"/>
  <c r="AZ4" i="4"/>
  <c r="AX5" i="4"/>
  <c r="AY5" i="4"/>
  <c r="AX6" i="4"/>
  <c r="AY6" i="4"/>
  <c r="AX7" i="4"/>
  <c r="AY7" i="4"/>
  <c r="AX8" i="4"/>
  <c r="AY8" i="4"/>
  <c r="AX9" i="4"/>
  <c r="AY9" i="4"/>
  <c r="AX10" i="4"/>
  <c r="AY10" i="4"/>
  <c r="AX11" i="4"/>
  <c r="AY11" i="4"/>
  <c r="AX12" i="4"/>
  <c r="AY12" i="4"/>
  <c r="AX13" i="4"/>
  <c r="AY13" i="4"/>
  <c r="AX14" i="4"/>
  <c r="AY14" i="4"/>
  <c r="AX15" i="4"/>
  <c r="AY15" i="4"/>
  <c r="AX16" i="4"/>
  <c r="AY16" i="4"/>
  <c r="AX17" i="4"/>
  <c r="AY17" i="4"/>
  <c r="AX18" i="4"/>
  <c r="AY18" i="4"/>
  <c r="AX19" i="4"/>
  <c r="AY19" i="4"/>
  <c r="AX20" i="4"/>
  <c r="AY20" i="4"/>
  <c r="AY4" i="4"/>
  <c r="AY21" i="4"/>
  <c r="AX4" i="4"/>
  <c r="AX21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W4" i="4"/>
  <c r="AW21" i="4"/>
  <c r="AV4" i="4"/>
  <c r="AV21" i="4"/>
  <c r="AT5" i="4"/>
  <c r="AU5" i="4"/>
  <c r="AT6" i="4"/>
  <c r="AU6" i="4"/>
  <c r="AT7" i="4"/>
  <c r="AU7" i="4"/>
  <c r="AT8" i="4"/>
  <c r="AU8" i="4"/>
  <c r="AT9" i="4"/>
  <c r="AU9" i="4"/>
  <c r="AT10" i="4"/>
  <c r="AU10" i="4"/>
  <c r="AT11" i="4"/>
  <c r="AU11" i="4"/>
  <c r="AT12" i="4"/>
  <c r="AU12" i="4"/>
  <c r="AT13" i="4"/>
  <c r="AU13" i="4"/>
  <c r="AT14" i="4"/>
  <c r="AU14" i="4"/>
  <c r="AT15" i="4"/>
  <c r="AU15" i="4"/>
  <c r="AT16" i="4"/>
  <c r="AU16" i="4"/>
  <c r="AT17" i="4"/>
  <c r="AU17" i="4"/>
  <c r="AT18" i="4"/>
  <c r="AU18" i="4"/>
  <c r="AT19" i="4"/>
  <c r="AU19" i="4"/>
  <c r="AT20" i="4"/>
  <c r="AU20" i="4"/>
  <c r="AU4" i="4"/>
  <c r="AT4" i="4"/>
  <c r="AR5" i="4"/>
  <c r="AS5" i="4"/>
  <c r="AR6" i="4"/>
  <c r="AS6" i="4"/>
  <c r="AR7" i="4"/>
  <c r="AS7" i="4"/>
  <c r="AR8" i="4"/>
  <c r="AS8" i="4"/>
  <c r="AR9" i="4"/>
  <c r="AS9" i="4"/>
  <c r="AR10" i="4"/>
  <c r="AS10" i="4"/>
  <c r="AR11" i="4"/>
  <c r="AS11" i="4"/>
  <c r="AR12" i="4"/>
  <c r="AS12" i="4"/>
  <c r="AR13" i="4"/>
  <c r="AS13" i="4"/>
  <c r="AR14" i="4"/>
  <c r="AS14" i="4"/>
  <c r="AR15" i="4"/>
  <c r="AS15" i="4"/>
  <c r="AR16" i="4"/>
  <c r="AS16" i="4"/>
  <c r="AR17" i="4"/>
  <c r="AS17" i="4"/>
  <c r="AR18" i="4"/>
  <c r="AS18" i="4"/>
  <c r="AR19" i="4"/>
  <c r="AS19" i="4"/>
  <c r="AR20" i="4"/>
  <c r="AS20" i="4"/>
  <c r="AS4" i="4"/>
  <c r="AR4" i="4"/>
  <c r="AP5" i="4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Q4" i="4"/>
  <c r="AP4" i="4"/>
  <c r="AN5" i="4"/>
  <c r="AO5" i="4"/>
  <c r="AN6" i="4"/>
  <c r="AO6" i="4"/>
  <c r="AN7" i="4"/>
  <c r="AO7" i="4"/>
  <c r="AN8" i="4"/>
  <c r="AO8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O4" i="4"/>
  <c r="AN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M4" i="4"/>
  <c r="AL4" i="4"/>
  <c r="AJ5" i="4"/>
  <c r="AK5" i="4"/>
  <c r="AJ6" i="4"/>
  <c r="AK6" i="4"/>
  <c r="AJ7" i="4"/>
  <c r="AK7" i="4"/>
  <c r="AJ8" i="4"/>
  <c r="AK8" i="4"/>
  <c r="AJ9" i="4"/>
  <c r="AK9" i="4"/>
  <c r="AJ10" i="4"/>
  <c r="AK10" i="4"/>
  <c r="AJ11" i="4"/>
  <c r="AK11" i="4"/>
  <c r="AJ12" i="4"/>
  <c r="AK12" i="4"/>
  <c r="AJ13" i="4"/>
  <c r="AK13" i="4"/>
  <c r="AJ14" i="4"/>
  <c r="AK14" i="4"/>
  <c r="AJ15" i="4"/>
  <c r="AK15" i="4"/>
  <c r="AJ16" i="4"/>
  <c r="AK16" i="4"/>
  <c r="AJ17" i="4"/>
  <c r="AK17" i="4"/>
  <c r="AJ18" i="4"/>
  <c r="AK18" i="4"/>
  <c r="AJ19" i="4"/>
  <c r="AK19" i="4"/>
  <c r="AJ20" i="4"/>
  <c r="AK20" i="4"/>
  <c r="AK4" i="4"/>
  <c r="AJ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I4" i="4"/>
  <c r="AH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G4" i="4"/>
  <c r="AF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E4" i="4"/>
  <c r="AD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C4" i="4"/>
  <c r="AB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AA4" i="4"/>
  <c r="Z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Y4" i="4"/>
  <c r="X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W4" i="4"/>
  <c r="V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U4" i="4"/>
  <c r="T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S4" i="4"/>
  <c r="R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Q4" i="4"/>
  <c r="P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M4" i="4"/>
  <c r="L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I4" i="4"/>
  <c r="H4" i="4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I18" i="1"/>
  <c r="BJ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G4" i="4"/>
  <c r="F4" i="4"/>
  <c r="J4" i="4"/>
  <c r="K4" i="4"/>
  <c r="N4" i="4"/>
  <c r="O4" i="4"/>
  <c r="J5" i="4"/>
  <c r="K5" i="4"/>
  <c r="N5" i="4"/>
  <c r="O5" i="4"/>
  <c r="J6" i="4"/>
  <c r="K6" i="4"/>
  <c r="N6" i="4"/>
  <c r="O6" i="4"/>
  <c r="J7" i="4"/>
  <c r="K7" i="4"/>
  <c r="N7" i="4"/>
  <c r="O7" i="4"/>
  <c r="J8" i="4"/>
  <c r="K8" i="4"/>
  <c r="N8" i="4"/>
  <c r="O8" i="4"/>
  <c r="J9" i="4"/>
  <c r="K9" i="4"/>
  <c r="N9" i="4"/>
  <c r="O9" i="4"/>
  <c r="J10" i="4"/>
  <c r="K10" i="4"/>
  <c r="N10" i="4"/>
  <c r="O10" i="4"/>
  <c r="J11" i="4"/>
  <c r="K11" i="4"/>
  <c r="N11" i="4"/>
  <c r="O11" i="4"/>
  <c r="J12" i="4"/>
  <c r="K12" i="4"/>
  <c r="N12" i="4"/>
  <c r="O12" i="4"/>
  <c r="J13" i="4"/>
  <c r="K13" i="4"/>
  <c r="N13" i="4"/>
  <c r="O13" i="4"/>
  <c r="J14" i="4"/>
  <c r="K14" i="4"/>
  <c r="N14" i="4"/>
  <c r="O14" i="4"/>
  <c r="J15" i="4"/>
  <c r="K15" i="4"/>
  <c r="N15" i="4"/>
  <c r="O15" i="4"/>
  <c r="J16" i="4"/>
  <c r="K16" i="4"/>
  <c r="N16" i="4"/>
  <c r="O16" i="4"/>
  <c r="J17" i="4"/>
  <c r="K17" i="4"/>
  <c r="N17" i="4"/>
  <c r="O17" i="4"/>
  <c r="J18" i="4"/>
  <c r="K18" i="4"/>
  <c r="N18" i="4"/>
  <c r="O18" i="4"/>
  <c r="J19" i="4"/>
  <c r="K19" i="4"/>
  <c r="N19" i="4"/>
  <c r="O19" i="4"/>
  <c r="J20" i="4"/>
  <c r="K20" i="4"/>
  <c r="N20" i="4"/>
  <c r="O20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B2" i="1"/>
  <c r="D2" i="1"/>
  <c r="F2" i="1"/>
  <c r="H2" i="1"/>
  <c r="J2" i="1"/>
  <c r="L2" i="1"/>
  <c r="N2" i="1"/>
  <c r="P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AX2" i="1"/>
  <c r="AZ2" i="1"/>
  <c r="BB2" i="1"/>
  <c r="BD2" i="1"/>
  <c r="BF2" i="1"/>
  <c r="BH2" i="1"/>
  <c r="BJ2" i="1"/>
  <c r="J3" i="8"/>
  <c r="C21" i="4"/>
  <c r="T21" i="4"/>
  <c r="AB21" i="4"/>
  <c r="AJ21" i="4"/>
  <c r="AR21" i="4"/>
  <c r="AZ21" i="4"/>
  <c r="BH21" i="4"/>
  <c r="X21" i="4"/>
  <c r="AF21" i="4"/>
  <c r="AN21" i="4"/>
  <c r="BD21" i="4"/>
  <c r="BK21" i="1"/>
  <c r="AP21" i="1"/>
  <c r="R21" i="4"/>
  <c r="Z21" i="4"/>
  <c r="AH21" i="4"/>
  <c r="AP21" i="4"/>
  <c r="BF21" i="4"/>
  <c r="N21" i="4"/>
  <c r="S21" i="4"/>
  <c r="AA21" i="4"/>
  <c r="AI21" i="4"/>
  <c r="AQ21" i="4"/>
  <c r="BG21" i="4"/>
  <c r="K21" i="4"/>
  <c r="BG21" i="1"/>
  <c r="AA21" i="1"/>
  <c r="H21" i="4"/>
  <c r="I21" i="4"/>
  <c r="U21" i="4"/>
  <c r="AC21" i="4"/>
  <c r="AK21" i="4"/>
  <c r="AS21" i="4"/>
  <c r="BA21" i="4"/>
  <c r="BI21" i="4"/>
  <c r="O21" i="4"/>
  <c r="F21" i="4"/>
  <c r="L21" i="4"/>
  <c r="V21" i="4"/>
  <c r="AD21" i="4"/>
  <c r="AL21" i="4"/>
  <c r="AT21" i="4"/>
  <c r="BB21" i="4"/>
  <c r="B21" i="4"/>
  <c r="G21" i="4"/>
  <c r="M21" i="4"/>
  <c r="W21" i="4"/>
  <c r="AE21" i="4"/>
  <c r="AM21" i="4"/>
  <c r="AU21" i="4"/>
  <c r="BC21" i="4"/>
  <c r="J21" i="4"/>
  <c r="E21" i="4"/>
  <c r="P21" i="4"/>
  <c r="D21" i="4"/>
  <c r="Q21" i="4"/>
  <c r="Y21" i="4"/>
  <c r="AG21" i="4"/>
  <c r="AO21" i="4"/>
  <c r="BE21" i="4"/>
  <c r="J21" i="1"/>
  <c r="D21" i="1"/>
  <c r="E21" i="1"/>
  <c r="BF21" i="1"/>
  <c r="Z21" i="1"/>
  <c r="AY21" i="1"/>
  <c r="AQ21" i="1"/>
  <c r="AI21" i="1"/>
  <c r="S21" i="1"/>
  <c r="K21" i="1"/>
  <c r="AX21" i="1"/>
  <c r="AH21" i="1"/>
  <c r="R21" i="1"/>
  <c r="BC21" i="1"/>
  <c r="AE21" i="1"/>
  <c r="G21" i="1"/>
  <c r="AO21" i="1"/>
  <c r="Y21" i="1"/>
  <c r="BI21" i="1"/>
  <c r="AK21" i="1"/>
  <c r="U21" i="1"/>
  <c r="BJ21" i="1"/>
  <c r="BB21" i="1"/>
  <c r="AT21" i="1"/>
  <c r="AL21" i="1"/>
  <c r="AD21" i="1"/>
  <c r="V21" i="1"/>
  <c r="N21" i="1"/>
  <c r="F21" i="1"/>
  <c r="BD21" i="1"/>
  <c r="AV21" i="1"/>
  <c r="AN21" i="1"/>
  <c r="AF21" i="1"/>
  <c r="X21" i="1"/>
  <c r="P21" i="1"/>
  <c r="H21" i="1"/>
  <c r="BH21" i="1"/>
  <c r="AZ21" i="1"/>
  <c r="AR21" i="1"/>
  <c r="AJ21" i="1"/>
  <c r="AB21" i="1"/>
  <c r="T21" i="1"/>
  <c r="L21" i="1"/>
  <c r="AM21" i="1"/>
  <c r="O21" i="1"/>
  <c r="AW21" i="1"/>
  <c r="I21" i="1"/>
  <c r="BA21" i="1"/>
  <c r="M21" i="1"/>
  <c r="AU21" i="1"/>
  <c r="W21" i="1"/>
  <c r="BE21" i="1"/>
  <c r="AG21" i="1"/>
  <c r="Q21" i="1"/>
  <c r="AS21" i="1"/>
  <c r="AC21" i="1"/>
  <c r="BL14" i="4"/>
  <c r="BL6" i="4"/>
  <c r="BL10" i="4"/>
  <c r="BL15" i="4"/>
  <c r="BL19" i="4"/>
  <c r="BL5" i="4"/>
  <c r="BL18" i="4"/>
  <c r="BL16" i="4"/>
  <c r="BM17" i="4"/>
  <c r="BL7" i="4"/>
  <c r="BL20" i="4"/>
  <c r="BL12" i="4"/>
  <c r="BL8" i="4"/>
  <c r="BL11" i="4"/>
  <c r="BM9" i="4"/>
  <c r="BL9" i="4"/>
  <c r="BL17" i="4"/>
  <c r="BL13" i="4"/>
  <c r="BL4" i="4"/>
  <c r="BM7" i="4"/>
  <c r="BM19" i="4"/>
  <c r="BM11" i="4"/>
  <c r="BM15" i="4"/>
  <c r="BM4" i="4"/>
  <c r="BM8" i="4"/>
  <c r="BM16" i="4"/>
  <c r="BM20" i="4"/>
  <c r="BM5" i="4"/>
  <c r="BM13" i="4"/>
  <c r="BM10" i="4"/>
  <c r="BM18" i="4"/>
  <c r="BM12" i="4"/>
  <c r="BM6" i="4"/>
  <c r="BM14" i="4"/>
  <c r="C21" i="1"/>
  <c r="BM6" i="1"/>
  <c r="BM10" i="1"/>
  <c r="BM14" i="1"/>
  <c r="BM18" i="1"/>
  <c r="BL15" i="1"/>
  <c r="BM5" i="1"/>
  <c r="BM13" i="1"/>
  <c r="BM17" i="1"/>
  <c r="BL11" i="1"/>
  <c r="BL19" i="1"/>
  <c r="BL4" i="1"/>
  <c r="BL8" i="1"/>
  <c r="BL12" i="1"/>
  <c r="BL16" i="1"/>
  <c r="BL20" i="1"/>
  <c r="BM7" i="1"/>
  <c r="BM11" i="1"/>
  <c r="BM15" i="1"/>
  <c r="BM19" i="1"/>
  <c r="BL6" i="1"/>
  <c r="BL10" i="1"/>
  <c r="BL14" i="1"/>
  <c r="BL18" i="1"/>
  <c r="B21" i="1"/>
  <c r="BL5" i="1"/>
  <c r="BL9" i="1"/>
  <c r="BL13" i="1"/>
  <c r="BL17" i="1"/>
  <c r="BM9" i="1"/>
  <c r="BM8" i="1"/>
  <c r="BM12" i="1"/>
  <c r="BM16" i="1"/>
  <c r="BM20" i="1"/>
  <c r="BL7" i="1"/>
  <c r="BM4" i="1"/>
  <c r="BM21" i="4"/>
  <c r="BL21" i="4"/>
  <c r="BL21" i="1"/>
  <c r="BM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temwise" description="Connection to the 'Itemwise' query in the workbook." type="5" refreshedVersion="7" background="1" saveData="1">
    <dbPr connection="Provider=Microsoft.Mashup.OleDb.1;Data Source=$Workbook$;Location=Itemwise;Extended Properties=&quot;&quot;" command="SELECT * FROM [Itemwise]"/>
  </connection>
</connections>
</file>

<file path=xl/sharedStrings.xml><?xml version="1.0" encoding="utf-8"?>
<sst xmlns="http://schemas.openxmlformats.org/spreadsheetml/2006/main" count="1587" uniqueCount="57">
  <si>
    <t>Ice Cream</t>
  </si>
  <si>
    <t>Chips and Oats</t>
  </si>
  <si>
    <t>Bauli</t>
  </si>
  <si>
    <t>Thirumala</t>
  </si>
  <si>
    <t>Milky Mist</t>
  </si>
  <si>
    <t>Amul</t>
  </si>
  <si>
    <t>Cadbury</t>
  </si>
  <si>
    <t>Nestle</t>
  </si>
  <si>
    <t>Item</t>
  </si>
  <si>
    <t xml:space="preserve">Volume </t>
  </si>
  <si>
    <t>Revenue</t>
  </si>
  <si>
    <t>Egg</t>
  </si>
  <si>
    <t>Bisleri 1L</t>
  </si>
  <si>
    <t>Bisleri 20L</t>
  </si>
  <si>
    <t>Water Can</t>
  </si>
  <si>
    <t>Bisleri 500ml</t>
  </si>
  <si>
    <t>Good Life</t>
  </si>
  <si>
    <t>Bisleri 300ml</t>
  </si>
  <si>
    <t>Bisleri 2L</t>
  </si>
  <si>
    <t>Bisleri 5L</t>
  </si>
  <si>
    <t>Friday</t>
  </si>
  <si>
    <t>Saturday</t>
  </si>
  <si>
    <t>Sunday</t>
  </si>
  <si>
    <t>Monday</t>
  </si>
  <si>
    <t>Tuesday</t>
  </si>
  <si>
    <t>Wednesday</t>
  </si>
  <si>
    <t>Thursday</t>
  </si>
  <si>
    <t>Total</t>
  </si>
  <si>
    <t>Volume 2</t>
  </si>
  <si>
    <t>Date</t>
  </si>
  <si>
    <t>Day</t>
  </si>
  <si>
    <t>Week</t>
  </si>
  <si>
    <t>Volume</t>
  </si>
  <si>
    <t>Sales</t>
  </si>
  <si>
    <t>Bisleri 500ML</t>
  </si>
  <si>
    <t>-</t>
  </si>
  <si>
    <t xml:space="preserve"> Sales </t>
  </si>
  <si>
    <t>Week 1</t>
  </si>
  <si>
    <t>Week 2</t>
  </si>
  <si>
    <t>Week 3</t>
  </si>
  <si>
    <t>Week 4</t>
  </si>
  <si>
    <t>Opening Stock</t>
  </si>
  <si>
    <t>Incoming Stock</t>
  </si>
  <si>
    <t>Outgoing Stock</t>
  </si>
  <si>
    <t>Closing Stock</t>
  </si>
  <si>
    <t>Grand Total</t>
  </si>
  <si>
    <t xml:space="preserve">Sum of  Sales </t>
  </si>
  <si>
    <t>Total Revenue</t>
  </si>
  <si>
    <t>Total Cost of Purchasing</t>
  </si>
  <si>
    <t>Gross Profit</t>
  </si>
  <si>
    <t xml:space="preserve">Milky Mist </t>
  </si>
  <si>
    <t>Sum of Volume</t>
  </si>
  <si>
    <t>Total Sales</t>
  </si>
  <si>
    <t>Total Volume</t>
  </si>
  <si>
    <t>%age of stock left</t>
  </si>
  <si>
    <t>Chips</t>
  </si>
  <si>
    <t>This cell has an external reference that can't be shown or edited. Editing this cell will remove the external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</si>
</sst>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1" fillId="0" borderId="0" xfId="1" applyFont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1" xfId="0" applyBorder="1"/>
    <xf numFmtId="44" fontId="1" fillId="0" borderId="3" xfId="1" applyFont="1" applyFill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 vertical="center"/>
    </xf>
    <xf numFmtId="44" fontId="0" fillId="0" borderId="1" xfId="1" applyFont="1" applyBorder="1"/>
    <xf numFmtId="4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9" fontId="0" fillId="0" borderId="0" xfId="2" applyFont="1" applyAlignment="1">
      <alignment horizontal="center"/>
    </xf>
    <xf numFmtId="9" fontId="1" fillId="0" borderId="0" xfId="2" applyFont="1" applyAlignment="1">
      <alignment horizontal="center"/>
    </xf>
    <xf numFmtId="3" fontId="0" fillId="0" borderId="0" xfId="0" pivotButton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Border="1" applyAlignment="1">
      <alignment vertical="center"/>
    </xf>
    <xf numFmtId="3" fontId="1" fillId="0" borderId="0" xfId="1" applyNumberFormat="1" applyFont="1" applyAlignment="1">
      <alignment horizontal="center" vertical="center"/>
    </xf>
    <xf numFmtId="3" fontId="1" fillId="0" borderId="0" xfId="1" applyNumberFormat="1" applyFont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37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theme" Target="theme/theme1.xml"/><Relationship Id="rId78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between Volume and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2021 - Pivot'!$G$37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333333333333334E-2"/>
                  <c:y val="2.3148148148148064E-2"/>
                </c:manualLayout>
              </c:layout>
              <c:tx>
                <c:rich>
                  <a:bodyPr/>
                  <a:lstStyle/>
                  <a:p>
                    <a:fld id="{47924D05-9B2F-4F17-92D0-16F949FD7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CF7-478F-935F-560E761AB033}"/>
                </c:ext>
              </c:extLst>
            </c:dLbl>
            <c:dLbl>
              <c:idx val="1"/>
              <c:layout>
                <c:manualLayout>
                  <c:x val="-0.04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C6065F53-41BA-4F88-9A0C-A70D14C07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CF7-478F-935F-560E761AB033}"/>
                </c:ext>
              </c:extLst>
            </c:dLbl>
            <c:dLbl>
              <c:idx val="2"/>
              <c:layout>
                <c:manualLayout>
                  <c:x val="3.7333333333333288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37FEE9FD-66BF-458A-B91C-11E520EA9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CF7-478F-935F-560E761AB033}"/>
                </c:ext>
              </c:extLst>
            </c:dLbl>
            <c:dLbl>
              <c:idx val="3"/>
              <c:layout>
                <c:manualLayout>
                  <c:x val="2.6666666666666616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E249C6E3-94D4-4D92-B3B8-997A9537F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CF7-478F-935F-560E761AB033}"/>
                </c:ext>
              </c:extLst>
            </c:dLbl>
            <c:dLbl>
              <c:idx val="4"/>
              <c:layout>
                <c:manualLayout>
                  <c:x val="4.922968821544129E-2"/>
                  <c:y val="-1.4318237124053203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Bisleri 300ml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CF7-478F-935F-560E761AB033}"/>
                </c:ext>
              </c:extLst>
            </c:dLbl>
            <c:dLbl>
              <c:idx val="5"/>
              <c:layout>
                <c:manualLayout>
                  <c:x val="0.10133322834645664"/>
                  <c:y val="-2.54629629629630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6DBC9B-5A82-43B3-9EBB-C924F24788E5}" type="CELLRANGE">
                      <a:rPr lang="en-US"/>
                      <a:pPr>
                        <a:defRPr sz="7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533333333333325E-2"/>
                      <c:h val="0.1156714785651793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CF7-478F-935F-560E761AB033}"/>
                </c:ext>
              </c:extLst>
            </c:dLbl>
            <c:dLbl>
              <c:idx val="6"/>
              <c:layout>
                <c:manualLayout>
                  <c:x val="-2.4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7C748042-32FE-427A-86EC-02C31C28D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CF7-478F-935F-560E761AB033}"/>
                </c:ext>
              </c:extLst>
            </c:dLbl>
            <c:dLbl>
              <c:idx val="7"/>
              <c:layout>
                <c:manualLayout>
                  <c:x val="2.1333333333333284E-2"/>
                  <c:y val="0.10185185185185176"/>
                </c:manualLayout>
              </c:layout>
              <c:tx>
                <c:rich>
                  <a:bodyPr/>
                  <a:lstStyle/>
                  <a:p>
                    <a:fld id="{733C74CC-F513-4395-8D4C-90E88A78D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CF7-478F-935F-560E761AB0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5D9F57-7169-4050-A42F-6A2048B20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F7-478F-935F-560E761AB033}"/>
                </c:ext>
              </c:extLst>
            </c:dLbl>
            <c:dLbl>
              <c:idx val="9"/>
              <c:layout>
                <c:manualLayout>
                  <c:x val="4.8000000000000001E-2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0C4938BF-2027-403E-BC07-367467EA6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CF7-478F-935F-560E761AB033}"/>
                </c:ext>
              </c:extLst>
            </c:dLbl>
            <c:dLbl>
              <c:idx val="10"/>
              <c:layout>
                <c:manualLayout>
                  <c:x val="-0.128"/>
                  <c:y val="-0.14814814814814814"/>
                </c:manualLayout>
              </c:layout>
              <c:tx>
                <c:rich>
                  <a:bodyPr/>
                  <a:lstStyle/>
                  <a:p>
                    <a:fld id="{11F08F74-D0CA-4F68-93E0-1260F6F8B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CF7-478F-935F-560E761AB0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25D4E1-CDD9-4B38-B06B-C7FF71D77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F7-478F-935F-560E761AB033}"/>
                </c:ext>
              </c:extLst>
            </c:dLbl>
            <c:dLbl>
              <c:idx val="12"/>
              <c:layout>
                <c:manualLayout>
                  <c:x val="-6.9333333333333386E-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AAD2A134-A160-4789-889D-C4F530D88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CF7-478F-935F-560E761AB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'Oct 2021 - Pivot'!$F$38:$F$50</c:f>
              <c:numCache>
                <c:formatCode>#,##0</c:formatCode>
                <c:ptCount val="13"/>
                <c:pt idx="0">
                  <c:v>137</c:v>
                </c:pt>
                <c:pt idx="1">
                  <c:v>59</c:v>
                </c:pt>
                <c:pt idx="2">
                  <c:v>29</c:v>
                </c:pt>
                <c:pt idx="3">
                  <c:v>60</c:v>
                </c:pt>
                <c:pt idx="4">
                  <c:v>24</c:v>
                </c:pt>
                <c:pt idx="5">
                  <c:v>37</c:v>
                </c:pt>
                <c:pt idx="6">
                  <c:v>306</c:v>
                </c:pt>
                <c:pt idx="7">
                  <c:v>312</c:v>
                </c:pt>
                <c:pt idx="8">
                  <c:v>1195</c:v>
                </c:pt>
                <c:pt idx="9">
                  <c:v>255</c:v>
                </c:pt>
                <c:pt idx="10">
                  <c:v>241</c:v>
                </c:pt>
                <c:pt idx="11">
                  <c:v>188</c:v>
                </c:pt>
                <c:pt idx="12">
                  <c:v>142</c:v>
                </c:pt>
              </c:numCache>
            </c:numRef>
          </c:xVal>
          <c:yVal>
            <c:numRef>
              <c:f>'Oct 2021 - Pivot'!$G$38:$G$50</c:f>
              <c:numCache>
                <c:formatCode>#,##0</c:formatCode>
                <c:ptCount val="13"/>
                <c:pt idx="0">
                  <c:v>5557.0001279999997</c:v>
                </c:pt>
                <c:pt idx="1">
                  <c:v>885.00021800000002</c:v>
                </c:pt>
                <c:pt idx="2">
                  <c:v>780.40001000000007</c:v>
                </c:pt>
                <c:pt idx="3">
                  <c:v>4500</c:v>
                </c:pt>
                <c:pt idx="4">
                  <c:v>229.20001400000001</c:v>
                </c:pt>
                <c:pt idx="5">
                  <c:v>358</c:v>
                </c:pt>
                <c:pt idx="6">
                  <c:v>7512.000884</c:v>
                </c:pt>
                <c:pt idx="7">
                  <c:v>5642.0006780000003</c:v>
                </c:pt>
                <c:pt idx="8">
                  <c:v>7419.6</c:v>
                </c:pt>
                <c:pt idx="9">
                  <c:v>6861.9998000000005</c:v>
                </c:pt>
                <c:pt idx="10">
                  <c:v>5831.000376</c:v>
                </c:pt>
                <c:pt idx="11">
                  <c:v>13657.000021</c:v>
                </c:pt>
                <c:pt idx="12">
                  <c:v>6203.9999740000003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'Oct 2021 - Pivot'!$E$38:$E$50</c15:f>
                <c15:dlblRangeCache>
                  <c:ptCount val="13"/>
                  <c:pt idx="0">
                    <c:v>Amul</c:v>
                  </c:pt>
                  <c:pt idx="1">
                    <c:v>Bauli</c:v>
                  </c:pt>
                  <c:pt idx="2">
                    <c:v>Bisleri 1L</c:v>
                  </c:pt>
                  <c:pt idx="3">
                    <c:v>Bisleri 20L</c:v>
                  </c:pt>
                  <c:pt idx="4">
                    <c:v>Bisleri 300ml</c:v>
                  </c:pt>
                  <c:pt idx="5">
                    <c:v>Bisleri 500ml</c:v>
                  </c:pt>
                  <c:pt idx="6">
                    <c:v>Cadbury</c:v>
                  </c:pt>
                  <c:pt idx="7">
                    <c:v>Chips and Oats</c:v>
                  </c:pt>
                  <c:pt idx="8">
                    <c:v>Egg</c:v>
                  </c:pt>
                  <c:pt idx="9">
                    <c:v>Good Life</c:v>
                  </c:pt>
                  <c:pt idx="10">
                    <c:v>Ice Cream</c:v>
                  </c:pt>
                  <c:pt idx="11">
                    <c:v>Milky Mist</c:v>
                  </c:pt>
                  <c:pt idx="12">
                    <c:v>Nestle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F7-478F-935F-560E761AB03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885232840"/>
        <c:axId val="885237104"/>
      </c:scatterChart>
      <c:valAx>
        <c:axId val="8852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sold</a:t>
                </a:r>
                <a:r>
                  <a:rPr lang="en-IN" baseline="0"/>
                  <a:t> (in units)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37104"/>
        <c:crosses val="autoZero"/>
        <c:crossBetween val="midCat"/>
      </c:valAx>
      <c:valAx>
        <c:axId val="885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3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(Day-wise) - Oct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 2021 - Pivot'!$E$70:$E$76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'Oct 2021 - Pivot'!$F$70:$F$76</c:f>
              <c:numCache>
                <c:formatCode>#,##0</c:formatCode>
                <c:ptCount val="7"/>
                <c:pt idx="0">
                  <c:v>8295.6008279999987</c:v>
                </c:pt>
                <c:pt idx="1">
                  <c:v>10070.60079</c:v>
                </c:pt>
                <c:pt idx="2">
                  <c:v>8580</c:v>
                </c:pt>
                <c:pt idx="3">
                  <c:v>8569</c:v>
                </c:pt>
                <c:pt idx="4">
                  <c:v>16026.000065</c:v>
                </c:pt>
                <c:pt idx="5">
                  <c:v>9995.0002800000002</c:v>
                </c:pt>
                <c:pt idx="6">
                  <c:v>4541.0001700000003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9EB-AD53-6C28AEA6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573992"/>
        <c:axId val="853577928"/>
      </c:barChart>
      <c:catAx>
        <c:axId val="85357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77928"/>
        <c:crosses val="autoZero"/>
        <c:auto val="1"/>
        <c:lblAlgn val="ctr"/>
        <c:lblOffset val="100"/>
        <c:noMultiLvlLbl val="0"/>
      </c:catAx>
      <c:valAx>
        <c:axId val="8535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7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(Date-wise) -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'Oct 2021 - Pivot'!$E$82:$E$112</c:f>
              <c:numCache>
                <c:formatCode>#,##0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'Oct 2021 - Pivot'!$F$82:$F$112</c:f>
              <c:numCache>
                <c:formatCode>#,##0</c:formatCode>
                <c:ptCount val="31"/>
                <c:pt idx="0">
                  <c:v>3855.0000650000006</c:v>
                </c:pt>
                <c:pt idx="1">
                  <c:v>2677.0002800000002</c:v>
                </c:pt>
                <c:pt idx="2">
                  <c:v>1719.0001700000005</c:v>
                </c:pt>
                <c:pt idx="3">
                  <c:v>3680.200828</c:v>
                </c:pt>
                <c:pt idx="4">
                  <c:v>4675.0007900000001</c:v>
                </c:pt>
                <c:pt idx="5">
                  <c:v>2686</c:v>
                </c:pt>
                <c:pt idx="6">
                  <c:v>3080</c:v>
                </c:pt>
                <c:pt idx="7">
                  <c:v>3989</c:v>
                </c:pt>
                <c:pt idx="8">
                  <c:v>1672</c:v>
                </c:pt>
                <c:pt idx="9">
                  <c:v>1351</c:v>
                </c:pt>
                <c:pt idx="10">
                  <c:v>3685.4</c:v>
                </c:pt>
                <c:pt idx="11">
                  <c:v>1925</c:v>
                </c:pt>
                <c:pt idx="12">
                  <c:v>1991</c:v>
                </c:pt>
                <c:pt idx="13">
                  <c:v>1354</c:v>
                </c:pt>
                <c:pt idx="14">
                  <c:v>3392</c:v>
                </c:pt>
                <c:pt idx="15">
                  <c:v>1308</c:v>
                </c:pt>
                <c:pt idx="16">
                  <c:v>1471</c:v>
                </c:pt>
                <c:pt idx="17">
                  <c:v>930</c:v>
                </c:pt>
                <c:pt idx="18">
                  <c:v>938</c:v>
                </c:pt>
                <c:pt idx="19">
                  <c:v>1237</c:v>
                </c:pt>
                <c:pt idx="20">
                  <c:v>2207</c:v>
                </c:pt>
                <c:pt idx="21">
                  <c:v>2220</c:v>
                </c:pt>
                <c:pt idx="22">
                  <c:v>2469</c:v>
                </c:pt>
                <c:pt idx="23">
                  <c:v>0</c:v>
                </c:pt>
                <c:pt idx="24">
                  <c:v>0</c:v>
                </c:pt>
                <c:pt idx="25">
                  <c:v>2532.6</c:v>
                </c:pt>
                <c:pt idx="26">
                  <c:v>2666</c:v>
                </c:pt>
                <c:pt idx="27">
                  <c:v>1928</c:v>
                </c:pt>
                <c:pt idx="28">
                  <c:v>2570</c:v>
                </c:pt>
                <c:pt idx="29">
                  <c:v>1869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B-478A-B5DE-286641DA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89488"/>
        <c:axId val="999992768"/>
      </c:lineChart>
      <c:catAx>
        <c:axId val="9999894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92768"/>
        <c:crosses val="autoZero"/>
        <c:auto val="1"/>
        <c:lblAlgn val="ctr"/>
        <c:lblOffset val="100"/>
        <c:noMultiLvlLbl val="1"/>
      </c:catAx>
      <c:valAx>
        <c:axId val="999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Cadbury vs Ice Cream -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2021 - Pivot'!$A$117</c:f>
              <c:strCache>
                <c:ptCount val="1"/>
                <c:pt idx="0">
                  <c:v>Ice Cream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2021 - Pivot'!$B$116:$V$116</c:f>
              <c:numCache>
                <c:formatCode>#,##0</c:formatCode>
                <c:ptCount val="21"/>
                <c:pt idx="0">
                  <c:v>9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13</c:v>
                </c:pt>
                <c:pt idx="11">
                  <c:v>13</c:v>
                </c:pt>
                <c:pt idx="12">
                  <c:v>24</c:v>
                </c:pt>
                <c:pt idx="13">
                  <c:v>2</c:v>
                </c:pt>
                <c:pt idx="14">
                  <c:v>12</c:v>
                </c:pt>
                <c:pt idx="15">
                  <c:v>4</c:v>
                </c:pt>
                <c:pt idx="16">
                  <c:v>9</c:v>
                </c:pt>
                <c:pt idx="17">
                  <c:v>13</c:v>
                </c:pt>
                <c:pt idx="18">
                  <c:v>18</c:v>
                </c:pt>
                <c:pt idx="19">
                  <c:v>10</c:v>
                </c:pt>
                <c:pt idx="20">
                  <c:v>16</c:v>
                </c:pt>
              </c:numCache>
            </c:numRef>
          </c:xVal>
          <c:yVal>
            <c:numRef>
              <c:f>'Oct 2021 - Pivot'!$B$117:$V$117</c:f>
              <c:numCache>
                <c:formatCode>#,##0</c:formatCode>
                <c:ptCount val="21"/>
                <c:pt idx="0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28</c:v>
                </c:pt>
                <c:pt idx="5">
                  <c:v>20</c:v>
                </c:pt>
                <c:pt idx="7">
                  <c:v>13</c:v>
                </c:pt>
                <c:pt idx="8">
                  <c:v>2</c:v>
                </c:pt>
                <c:pt idx="9">
                  <c:v>12</c:v>
                </c:pt>
                <c:pt idx="10">
                  <c:v>10</c:v>
                </c:pt>
                <c:pt idx="11">
                  <c:v>2</c:v>
                </c:pt>
                <c:pt idx="15">
                  <c:v>10</c:v>
                </c:pt>
                <c:pt idx="16">
                  <c:v>24</c:v>
                </c:pt>
                <c:pt idx="18">
                  <c:v>7</c:v>
                </c:pt>
                <c:pt idx="19">
                  <c:v>13</c:v>
                </c:pt>
                <c:pt idx="2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A-47A4-9390-E36AACF6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77120"/>
        <c:axId val="885272856"/>
      </c:scatterChart>
      <c:valAx>
        <c:axId val="8852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Cadbury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72856"/>
        <c:crosses val="autoZero"/>
        <c:crossBetween val="midCat"/>
      </c:valAx>
      <c:valAx>
        <c:axId val="8852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Cadbury vs Bauli -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2021 - Pivot'!$B$136:$AC$136</c:f>
              <c:numCache>
                <c:formatCode>#,##0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0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</c:numCache>
            </c:numRef>
          </c:xVal>
          <c:yVal>
            <c:numRef>
              <c:f>'Oct 2021 - Pivot'!$B$137:$AC$137</c:f>
              <c:numCache>
                <c:formatCode>#,##0</c:formatCode>
                <c:ptCount val="28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18</c:v>
                </c:pt>
                <c:pt idx="4">
                  <c:v>38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24</c:v>
                </c:pt>
                <c:pt idx="16">
                  <c:v>0</c:v>
                </c:pt>
                <c:pt idx="17">
                  <c:v>2</c:v>
                </c:pt>
                <c:pt idx="18">
                  <c:v>12</c:v>
                </c:pt>
                <c:pt idx="19">
                  <c:v>4</c:v>
                </c:pt>
                <c:pt idx="20">
                  <c:v>27</c:v>
                </c:pt>
                <c:pt idx="21">
                  <c:v>11</c:v>
                </c:pt>
                <c:pt idx="22">
                  <c:v>9</c:v>
                </c:pt>
                <c:pt idx="23">
                  <c:v>13</c:v>
                </c:pt>
                <c:pt idx="24">
                  <c:v>2</c:v>
                </c:pt>
                <c:pt idx="25">
                  <c:v>18</c:v>
                </c:pt>
                <c:pt idx="26">
                  <c:v>10</c:v>
                </c:pt>
                <c:pt idx="2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D-45D9-BE3F-1E131667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72984"/>
        <c:axId val="886477904"/>
      </c:scatterChart>
      <c:valAx>
        <c:axId val="88647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7904"/>
        <c:crosses val="autoZero"/>
        <c:crossBetween val="midCat"/>
      </c:valAx>
      <c:valAx>
        <c:axId val="886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Cadbury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vs Chips -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2021 - Pivot'!$B$138:$AC$138</c:f>
              <c:numCache>
                <c:formatCode>#,##0</c:formatCode>
                <c:ptCount val="28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45</c:v>
                </c:pt>
                <c:pt idx="4">
                  <c:v>10</c:v>
                </c:pt>
                <c:pt idx="5">
                  <c:v>2</c:v>
                </c:pt>
                <c:pt idx="6">
                  <c:v>16</c:v>
                </c:pt>
                <c:pt idx="7">
                  <c:v>29</c:v>
                </c:pt>
                <c:pt idx="8">
                  <c:v>2</c:v>
                </c:pt>
                <c:pt idx="9">
                  <c:v>0</c:v>
                </c:pt>
                <c:pt idx="10">
                  <c:v>16</c:v>
                </c:pt>
                <c:pt idx="11">
                  <c:v>2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5</c:v>
                </c:pt>
                <c:pt idx="16">
                  <c:v>13</c:v>
                </c:pt>
                <c:pt idx="17">
                  <c:v>12</c:v>
                </c:pt>
                <c:pt idx="18">
                  <c:v>5</c:v>
                </c:pt>
                <c:pt idx="19">
                  <c:v>8</c:v>
                </c:pt>
                <c:pt idx="20">
                  <c:v>11</c:v>
                </c:pt>
                <c:pt idx="21">
                  <c:v>19</c:v>
                </c:pt>
                <c:pt idx="22">
                  <c:v>21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15</c:v>
                </c:pt>
                <c:pt idx="27">
                  <c:v>7</c:v>
                </c:pt>
              </c:numCache>
            </c:numRef>
          </c:xVal>
          <c:yVal>
            <c:numRef>
              <c:f>'Oct 2021 - Pivot'!$B$139:$AC$139</c:f>
              <c:numCache>
                <c:formatCode>#,##0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28</c:v>
                </c:pt>
                <c:pt idx="6">
                  <c:v>20</c:v>
                </c:pt>
                <c:pt idx="7">
                  <c:v>0</c:v>
                </c:pt>
                <c:pt idx="8">
                  <c:v>13</c:v>
                </c:pt>
                <c:pt idx="9">
                  <c:v>2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2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12</c:v>
                </c:pt>
                <c:pt idx="21">
                  <c:v>3</c:v>
                </c:pt>
                <c:pt idx="22">
                  <c:v>24</c:v>
                </c:pt>
                <c:pt idx="23">
                  <c:v>0</c:v>
                </c:pt>
                <c:pt idx="24">
                  <c:v>8</c:v>
                </c:pt>
                <c:pt idx="25">
                  <c:v>7</c:v>
                </c:pt>
                <c:pt idx="26">
                  <c:v>13</c:v>
                </c:pt>
                <c:pt idx="2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7-4F90-8543-7DAA4C02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43216"/>
        <c:axId val="957846168"/>
      </c:scatterChart>
      <c:valAx>
        <c:axId val="957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46168"/>
        <c:crosses val="autoZero"/>
        <c:crossBetween val="midCat"/>
      </c:valAx>
      <c:valAx>
        <c:axId val="9578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Bauli vs Chips -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2021 - Pivot'!$B$136:$AC$136</c:f>
              <c:numCache>
                <c:formatCode>#,##0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0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</c:numCache>
            </c:numRef>
          </c:xVal>
          <c:yVal>
            <c:numRef>
              <c:f>'Oct 2021 - Pivot'!$B$138:$AC$138</c:f>
              <c:numCache>
                <c:formatCode>#,##0</c:formatCode>
                <c:ptCount val="28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45</c:v>
                </c:pt>
                <c:pt idx="4">
                  <c:v>10</c:v>
                </c:pt>
                <c:pt idx="5">
                  <c:v>2</c:v>
                </c:pt>
                <c:pt idx="6">
                  <c:v>16</c:v>
                </c:pt>
                <c:pt idx="7">
                  <c:v>29</c:v>
                </c:pt>
                <c:pt idx="8">
                  <c:v>2</c:v>
                </c:pt>
                <c:pt idx="9">
                  <c:v>0</c:v>
                </c:pt>
                <c:pt idx="10">
                  <c:v>16</c:v>
                </c:pt>
                <c:pt idx="11">
                  <c:v>2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5</c:v>
                </c:pt>
                <c:pt idx="16">
                  <c:v>13</c:v>
                </c:pt>
                <c:pt idx="17">
                  <c:v>12</c:v>
                </c:pt>
                <c:pt idx="18">
                  <c:v>5</c:v>
                </c:pt>
                <c:pt idx="19">
                  <c:v>8</c:v>
                </c:pt>
                <c:pt idx="20">
                  <c:v>11</c:v>
                </c:pt>
                <c:pt idx="21">
                  <c:v>19</c:v>
                </c:pt>
                <c:pt idx="22">
                  <c:v>21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15</c:v>
                </c:pt>
                <c:pt idx="2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3-481E-918C-50A5A3EA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41000"/>
        <c:axId val="885946576"/>
      </c:scatterChart>
      <c:valAx>
        <c:axId val="8859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46576"/>
        <c:crosses val="autoZero"/>
        <c:crossBetween val="midCat"/>
      </c:valAx>
      <c:valAx>
        <c:axId val="8859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stock unsold</a:t>
            </a:r>
            <a:r>
              <a:rPr lang="en-IN" baseline="0"/>
              <a:t> - Oct 2021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 2021 - Weekly Ledger'!$R$2</c:f>
              <c:strCache>
                <c:ptCount val="1"/>
                <c:pt idx="0">
                  <c:v>%age of stock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2021 - Weekly Ledger'!$A$3:$A$10</c:f>
              <c:strCache>
                <c:ptCount val="8"/>
                <c:pt idx="0">
                  <c:v>Bauli</c:v>
                </c:pt>
                <c:pt idx="1">
                  <c:v>Bisleri 1L</c:v>
                </c:pt>
                <c:pt idx="2">
                  <c:v>Bisleri 20L</c:v>
                </c:pt>
                <c:pt idx="3">
                  <c:v>Bisleri 300ml</c:v>
                </c:pt>
                <c:pt idx="4">
                  <c:v>Bisleri 500ml</c:v>
                </c:pt>
                <c:pt idx="5">
                  <c:v>Chips and Oats</c:v>
                </c:pt>
                <c:pt idx="6">
                  <c:v>Egg</c:v>
                </c:pt>
                <c:pt idx="7">
                  <c:v>Good Life</c:v>
                </c:pt>
              </c:strCache>
            </c:strRef>
          </c:cat>
          <c:val>
            <c:numRef>
              <c:f>'Oct 2021 - Weekly Ledger'!$R$3:$R$10</c:f>
              <c:numCache>
                <c:formatCode>0%</c:formatCode>
                <c:ptCount val="8"/>
                <c:pt idx="0">
                  <c:v>0.81562500000000004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0.1333333333333333</c:v>
                </c:pt>
                <c:pt idx="6">
                  <c:v>4.1666666666666519E-3</c:v>
                </c:pt>
                <c:pt idx="7">
                  <c:v>8.9285714285714302E-2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D-4BC7-8C76-447783812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046184"/>
        <c:axId val="956041592"/>
      </c:barChart>
      <c:catAx>
        <c:axId val="9560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1592"/>
        <c:crosses val="autoZero"/>
        <c:auto val="1"/>
        <c:lblAlgn val="ctr"/>
        <c:lblOffset val="100"/>
        <c:noMultiLvlLbl val="0"/>
      </c:catAx>
      <c:valAx>
        <c:axId val="9560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Gross Profit (Itemwise) - Oct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 2021 - Monthly Sales'!$D$1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012009739753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EA-46C1-A441-3C6C227D8C33}"/>
                </c:ext>
              </c:extLst>
            </c:dLbl>
            <c:dLbl>
              <c:idx val="1"/>
              <c:layout>
                <c:manualLayout>
                  <c:x val="4.8048038959014423E-3"/>
                  <c:y val="-9.09090909090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EA-46C1-A441-3C6C227D8C33}"/>
                </c:ext>
              </c:extLst>
            </c:dLbl>
            <c:dLbl>
              <c:idx val="6"/>
              <c:layout>
                <c:manualLayout>
                  <c:x val="-1.921921558360585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EA-46C1-A441-3C6C227D8C33}"/>
                </c:ext>
              </c:extLst>
            </c:dLbl>
            <c:dLbl>
              <c:idx val="9"/>
              <c:layout>
                <c:manualLayout>
                  <c:x val="-8.8087053835697515E-17"/>
                  <c:y val="-4.54545454545454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EA-46C1-A441-3C6C227D8C33}"/>
                </c:ext>
              </c:extLst>
            </c:dLbl>
            <c:dLbl>
              <c:idx val="10"/>
              <c:layout>
                <c:manualLayout>
                  <c:x val="4.8048038959014648E-3"/>
                  <c:y val="1.81818181818180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EA-46C1-A441-3C6C227D8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2021 - Monthly Sales'!$A$2:$A$14</c:f>
              <c:strCache>
                <c:ptCount val="13"/>
                <c:pt idx="0">
                  <c:v>Amul</c:v>
                </c:pt>
                <c:pt idx="1">
                  <c:v>Bauli</c:v>
                </c:pt>
                <c:pt idx="2">
                  <c:v>Bisleri 1L</c:v>
                </c:pt>
                <c:pt idx="3">
                  <c:v>Bisleri 20L</c:v>
                </c:pt>
                <c:pt idx="4">
                  <c:v>Bisleri 300ml</c:v>
                </c:pt>
                <c:pt idx="5">
                  <c:v>Bisleri 500ml</c:v>
                </c:pt>
                <c:pt idx="6">
                  <c:v>Cadbury</c:v>
                </c:pt>
                <c:pt idx="7">
                  <c:v>Chips and Oats</c:v>
                </c:pt>
                <c:pt idx="8">
                  <c:v>Egg</c:v>
                </c:pt>
                <c:pt idx="9">
                  <c:v>Good Life</c:v>
                </c:pt>
                <c:pt idx="10">
                  <c:v>Ice Cream</c:v>
                </c:pt>
                <c:pt idx="11">
                  <c:v>Milky Mist</c:v>
                </c:pt>
                <c:pt idx="12">
                  <c:v>Nestle</c:v>
                </c:pt>
              </c:strCache>
            </c:strRef>
          </c:cat>
          <c:val>
            <c:numRef>
              <c:f>'Oct 2021 - Monthly Sales'!$D$2:$D$14</c:f>
              <c:numCache>
                <c:formatCode>_ "₹"\ * #,##0_ ;_ "₹"\ * \-#,##0_ ;_ "₹"\ * "-"??_ ;_ @_ </c:formatCode>
                <c:ptCount val="13"/>
                <c:pt idx="0">
                  <c:v>166.71000384000035</c:v>
                </c:pt>
                <c:pt idx="1">
                  <c:v>88.500021800000013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525.84006187999967</c:v>
                </c:pt>
                <c:pt idx="7">
                  <c:v>846.3001017000006</c:v>
                </c:pt>
                <c:pt idx="8">
                  <c:v>1236.5999999999995</c:v>
                </c:pt>
                <c:pt idx="9">
                  <c:v>659.80767307692258</c:v>
                </c:pt>
                <c:pt idx="10">
                  <c:v>466.48003007999978</c:v>
                </c:pt>
                <c:pt idx="11">
                  <c:v>4297.0000509999991</c:v>
                </c:pt>
                <c:pt idx="12">
                  <c:v>434.27999817999989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6C1-A441-3C6C227D8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3537912"/>
        <c:axId val="853532008"/>
      </c:barChart>
      <c:catAx>
        <c:axId val="85353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32008"/>
        <c:crosses val="autoZero"/>
        <c:auto val="1"/>
        <c:lblAlgn val="ctr"/>
        <c:lblOffset val="100"/>
        <c:noMultiLvlLbl val="0"/>
      </c:catAx>
      <c:valAx>
        <c:axId val="8535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3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Chart of Revenue (Itemwise) - May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Revenue (Itemwise) - May 2020</a:t>
          </a:r>
        </a:p>
      </cx:txPr>
    </cx:title>
    <cx:plotArea>
      <cx:plotAreaRegion>
        <cx:series layoutId="clusteredColumn" uniqueId="{BE6EE0AE-3340-4228-A156-F11DA2D1B2CB}">
          <cx:dataId val="0"/>
          <cx:layoutPr>
            <cx:aggregation/>
          </cx:layoutPr>
          <cx:axisId val="1"/>
        </cx:series>
        <cx:series layoutId="paretoLine" ownerIdx="0" uniqueId="{8C60FB47-5B69-4BD6-93F3-F2C26718396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595959"/>
                </a:solidFill>
                <a:effectLst/>
                <a:uLnTx/>
                <a:uFillTx/>
                <a:latin typeface="Calibri" panose="020F0502020204030204" pitchFamily="34" charset="0"/>
              </a:rPr>
              <a:t>Volume Distribution (Itemwise) - October 2021</a:t>
            </a:r>
            <a:endParaRPr lang="en-IN">
              <a:effectLst/>
            </a:endParaRPr>
          </a:p>
        </cx:rich>
      </cx:tx>
    </cx:title>
    <cx:plotArea>
      <cx:plotAreaRegion>
        <cx:series layoutId="clusteredColumn" uniqueId="{617C2751-F10A-4AB6-9983-F365B2E16455}">
          <cx:tx>
            <cx:txData>
              <cx:v>Total Volume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8A59506-3D21-49A3-9840-E36946651F49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Revenue Distribution (Itemwise) - October 2021</a:t>
            </a:r>
            <a:endParaRPr lang="en-US"/>
          </a:p>
        </cx:rich>
      </cx:tx>
    </cx:title>
    <cx:plotArea>
      <cx:plotAreaRegion>
        <cx:series layoutId="clusteredColumn" uniqueId="{3EB431AD-300A-441B-A26E-B29A3A3D4170}">
          <cx:tx>
            <cx:txData>
              <cx:v>Total 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93DB84C-FFC4-4516-B596-24171226BA37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3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301625</xdr:colOff>
      <xdr:row>2</xdr:row>
      <xdr:rowOff>158750</xdr:rowOff>
    </xdr:from>
    <xdr:to>
      <xdr:col>11</xdr:col>
      <xdr:colOff>587375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9AD4D0-79DC-4F18-B2B1-A4EDA7467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18</xdr:row>
      <xdr:rowOff>82550</xdr:rowOff>
    </xdr:from>
    <xdr:to>
      <xdr:col>15</xdr:col>
      <xdr:colOff>31749</xdr:colOff>
      <xdr:row>34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224F6A-74FA-4A9D-B58D-4B4850171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744040</xdr:colOff>
      <xdr:row>35</xdr:row>
      <xdr:rowOff>25400</xdr:rowOff>
    </xdr:from>
    <xdr:to>
      <xdr:col>14</xdr:col>
      <xdr:colOff>314325</xdr:colOff>
      <xdr:row>52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700090-0108-4FE9-9E02-A8158BE4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95250</xdr:rowOff>
    </xdr:from>
    <xdr:to>
      <xdr:col>15</xdr:col>
      <xdr:colOff>587375</xdr:colOff>
      <xdr:row>67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988A9A2-3A40-4EA8-A8E7-BB7B7E3D8B0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292100</xdr:colOff>
      <xdr:row>80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00D2C9-303B-449E-9B33-507AB26F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28574</xdr:colOff>
      <xdr:row>81</xdr:row>
      <xdr:rowOff>19050</xdr:rowOff>
    </xdr:from>
    <xdr:to>
      <xdr:col>14</xdr:col>
      <xdr:colOff>577850</xdr:colOff>
      <xdr:row>97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66F6FC-6321-4C6C-B7BF-4CF852052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638175</xdr:colOff>
      <xdr:row>117</xdr:row>
      <xdr:rowOff>114300</xdr:rowOff>
    </xdr:from>
    <xdr:to>
      <xdr:col>15</xdr:col>
      <xdr:colOff>276225</xdr:colOff>
      <xdr:row>132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ED960E-B766-4CC7-90D8-76BC5A99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803275</xdr:colOff>
      <xdr:row>140</xdr:row>
      <xdr:rowOff>152400</xdr:rowOff>
    </xdr:from>
    <xdr:to>
      <xdr:col>6</xdr:col>
      <xdr:colOff>619125</xdr:colOff>
      <xdr:row>155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C11D7-5E17-4541-9875-739F622A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219075</xdr:colOff>
      <xdr:row>140</xdr:row>
      <xdr:rowOff>171450</xdr:rowOff>
    </xdr:from>
    <xdr:to>
      <xdr:col>13</xdr:col>
      <xdr:colOff>485775</xdr:colOff>
      <xdr:row>155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BE52B-8161-4F6E-921E-B2E9CF4C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492124</xdr:colOff>
      <xdr:row>140</xdr:row>
      <xdr:rowOff>139700</xdr:rowOff>
    </xdr:from>
    <xdr:to>
      <xdr:col>19</xdr:col>
      <xdr:colOff>495299</xdr:colOff>
      <xdr:row>155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BDD874-0295-4081-8725-B0F9E8FA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10</xdr:row>
      <xdr:rowOff>165100</xdr:rowOff>
    </xdr:from>
    <xdr:to>
      <xdr:col>13</xdr:col>
      <xdr:colOff>701675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D4740-9129-483C-99D0-307CB3A57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1006474</xdr:colOff>
      <xdr:row>2</xdr:row>
      <xdr:rowOff>12700</xdr:rowOff>
    </xdr:from>
    <xdr:to>
      <xdr:col>10</xdr:col>
      <xdr:colOff>44450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FC696-0FD9-48C3-BDEF-6E0C8F87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8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7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8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3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3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5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6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7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9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5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6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7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19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1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6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7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6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29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30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1/Itemwise/3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Data/May%202020/Itemwise/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1"/>
    </sheet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2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3"/>
    </sheet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4"/>
    </sheet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5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6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7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8"/>
    </sheetNames>
    <sheetDataSet>
      <sheetData sheetId="0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9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"/>
    </sheet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"/>
    </sheet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1"/>
    </sheetNames>
    <sheetDataSet>
      <sheetData sheetId="0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2"/>
    </sheetNames>
    <sheetDataSet>
      <sheetData sheetId="0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3"/>
    </sheetNames>
    <sheetDataSet>
      <sheetData sheetId="0"/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4"/>
    </sheetNames>
    <sheetDataSet>
      <sheetData sheetId="0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5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6"/>
    </sheetNames>
    <sheetDataSet>
      <sheetData sheetId="0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7"/>
    </sheetNames>
    <sheetDataSet>
      <sheetData sheetId="0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8"/>
    </sheet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9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0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1"/>
    </sheetNames>
    <sheetDataSet>
      <sheetData sheetId="0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"/>
    </sheetNames>
    <sheetDataSet>
      <sheetData sheetId="0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"/>
    </sheetNames>
    <sheetDataSet>
      <sheetData sheetId="0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"/>
    </sheetNames>
    <sheetDataSet>
      <sheetData sheetId="0"/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4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5"/>
    </sheetNames>
    <sheetDataSet>
      <sheetData sheetId="0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"/>
    </sheetNames>
    <sheetDataSet>
      <sheetData sheetId="0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7"/>
    </sheetNames>
    <sheetDataSet>
      <sheetData sheetId="0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8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9"/>
    </sheetNames>
    <sheetDataSet>
      <sheetData sheetId="0"/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"/>
    </sheetNames>
    <sheetDataSet>
      <sheetData sheetId="0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1"/>
    </sheetNames>
    <sheetDataSet>
      <sheetData sheetId="0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2"/>
    </sheetNames>
    <sheetDataSet>
      <sheetData sheetId="0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3"/>
    </sheetNames>
    <sheetDataSet>
      <sheetData sheetId="0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4"/>
    </sheetNames>
    <sheetDataSet>
      <sheetData sheetId="0"/>
      <sheetData sheetId="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5"/>
    </sheetNames>
    <sheetDataSet>
      <sheetData sheetId="0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6"/>
    </sheetNames>
    <sheetDataSet>
      <sheetData sheetId="0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7"/>
    </sheetNames>
    <sheetDataSet>
      <sheetData sheetId="0"/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8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5"/>
    </sheetNames>
    <sheetDataSet>
      <sheetData sheetId="0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9"/>
    </sheetNames>
    <sheetDataSet>
      <sheetData sheetId="0"/>
      <sheetData sheetId="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"/>
    </sheetNames>
    <sheetDataSet>
      <sheetData sheetId="0"/>
      <sheetData sheetId="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1"/>
    </sheetNames>
    <sheetDataSet>
      <sheetData sheetId="0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2"/>
    </sheetNames>
    <sheetDataSet>
      <sheetData sheetId="0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3"/>
    </sheetNames>
    <sheetDataSet>
      <sheetData sheetId="0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6"/>
    </sheetNames>
    <sheetDataSet>
      <sheetData sheetId="0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7"/>
    </sheetNames>
    <sheetDataSet>
      <sheetData sheetId="0"/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8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"/>
    </sheetNames>
    <sheetDataSet>
      <sheetData sheetId="0"/>
      <sheetData sheetId="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9"/>
    </sheetNames>
    <sheetDataSet>
      <sheetData sheetId="0"/>
      <sheetData sheetId="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0"/>
    </sheetNames>
    <sheetDataSet>
      <sheetData sheetId="0"/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7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8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9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31.064902314814" createdVersion="7" refreshedVersion="7" minRefreshableVersion="3" recordCount="231" xr:uid="{67DC9535-C0B8-421C-AA1C-C331A0F28543}">
  <cacheSource type="worksheet">
    <worksheetSource name="Table69"/>
  </cacheSource>
  <cacheFields count="6">
    <cacheField name="Date" numFmtId="14">
      <sharedItems containsSemiMixedTypes="0" containsNonDate="0" containsDate="1" containsString="0" minDate="2020-05-01T00:00:00" maxDate="2020-06-01T00:00:00"/>
    </cacheField>
    <cacheField name="Day" numFmtId="0">
      <sharedItems/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tem" numFmtId="0">
      <sharedItems containsBlank="1" count="21">
        <s v="Amul"/>
        <s v="Bauli"/>
        <s v="Bisleri 1L"/>
        <s v="Bisleri 20L"/>
        <s v="Cadbury"/>
        <s v="Chips and Oats"/>
        <s v="Egg"/>
        <s v="Good Life"/>
        <s v="Ice Cream"/>
        <s v="Milky Mist"/>
        <s v="Nestle"/>
        <s v="Thirumala"/>
        <s v="Water Can"/>
        <s v="Bisleri 500ml"/>
        <s v="-"/>
        <s v="Bisleri 300ml"/>
        <s v="Bisleri 5L"/>
        <s v="Bisleri 2L"/>
        <m u="1"/>
        <s v="Water Bottle" u="1"/>
        <s v="Dairy" u="1"/>
      </sharedItems>
    </cacheField>
    <cacheField name="Volume" numFmtId="0">
      <sharedItems containsSemiMixedTypes="0" containsString="0" containsNumber="1" containsInteger="1" minValue="0" maxValue="75"/>
    </cacheField>
    <cacheField name=" Sales " numFmtId="44">
      <sharedItems containsSemiMixedTypes="0" containsString="0" containsNumber="1" minValue="0" maxValue="1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31.709784027778" createdVersion="7" refreshedVersion="7" minRefreshableVersion="3" recordCount="236" xr:uid="{74921F33-4AA7-47DF-B905-7DC8369F241D}">
  <cacheSource type="worksheet">
    <worksheetSource name="Table70"/>
  </cacheSource>
  <cacheFields count="7">
    <cacheField name="Date" numFmtId="14">
      <sharedItems containsSemiMixedTypes="0" containsNonDate="0" containsDate="1" containsString="0" minDate="2021-10-01T00:00:00" maxDate="2021-11-01T00:00:00"/>
    </cacheField>
    <cacheField name="Day" numFmtId="0">
      <sharedItems/>
    </cacheField>
    <cacheField name="Week" numFmtId="0">
      <sharedItems containsMixedTypes="1" containsNumber="1" containsInteger="1" minValue="1" maxValue="4" count="8">
        <s v="Week 1"/>
        <s v="Week 3"/>
        <s v="Week 2"/>
        <s v="Week 4"/>
        <n v="2" u="1"/>
        <n v="1" u="1"/>
        <n v="3" u="1"/>
        <n v="4" u="1"/>
      </sharedItems>
    </cacheField>
    <cacheField name="Item" numFmtId="0">
      <sharedItems count="16">
        <s v="Amul"/>
        <s v="Cadbury"/>
        <s v="Chips and Oats"/>
        <s v="Egg"/>
        <s v="Good Life"/>
        <s v="Ice Cream"/>
        <s v="Milky Mist "/>
        <s v="Nestle"/>
        <s v="Bisleri 20L"/>
        <s v="Bisleri 1L"/>
        <s v="Bauli"/>
        <s v="Bisleri 300ml"/>
        <s v="Bisleri 500ml"/>
        <s v="-"/>
        <s v="Milky Mist" u="1"/>
        <s v=" Milky Mist " u="1"/>
      </sharedItems>
    </cacheField>
    <cacheField name="Volume" numFmtId="0">
      <sharedItems containsMixedTypes="1" containsNumber="1" containsInteger="1" minValue="1" maxValue="134"/>
    </cacheField>
    <cacheField name="Sales" numFmtId="164">
      <sharedItems containsMixedTypes="1" containsNumber="1" minValue="15" maxValue="1730.000055"/>
    </cacheField>
    <cacheField name="Rate" numFmtId="0">
      <sharedItems containsString="0" containsBlank="1" containsNumber="1" minValue="5.333333333333333" maxValue="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20-05-01T00:00:00"/>
    <s v="Friday"/>
    <x v="0"/>
    <x v="0"/>
    <n v="10"/>
    <n v="742"/>
  </r>
  <r>
    <d v="2020-05-01T00:00:00"/>
    <s v="Friday"/>
    <x v="0"/>
    <x v="1"/>
    <n v="10"/>
    <n v="150"/>
  </r>
  <r>
    <d v="2020-05-01T00:00:00"/>
    <s v="Friday"/>
    <x v="0"/>
    <x v="2"/>
    <n v="1"/>
    <n v="20"/>
  </r>
  <r>
    <d v="2020-05-01T00:00:00"/>
    <s v="Friday"/>
    <x v="0"/>
    <x v="3"/>
    <n v="4"/>
    <n v="300"/>
  </r>
  <r>
    <d v="2020-05-01T00:00:00"/>
    <s v="Friday"/>
    <x v="0"/>
    <x v="4"/>
    <n v="49"/>
    <n v="715"/>
  </r>
  <r>
    <d v="2020-05-01T00:00:00"/>
    <s v="Friday"/>
    <x v="0"/>
    <x v="5"/>
    <n v="40"/>
    <n v="600"/>
  </r>
  <r>
    <d v="2020-05-01T00:00:00"/>
    <s v="Friday"/>
    <x v="0"/>
    <x v="6"/>
    <n v="44"/>
    <n v="220"/>
  </r>
  <r>
    <d v="2020-05-01T00:00:00"/>
    <s v="Friday"/>
    <x v="0"/>
    <x v="7"/>
    <n v="9"/>
    <n v="225"/>
  </r>
  <r>
    <d v="2020-05-01T00:00:00"/>
    <s v="Friday"/>
    <x v="0"/>
    <x v="8"/>
    <n v="2"/>
    <n v="60"/>
  </r>
  <r>
    <d v="2020-05-01T00:00:00"/>
    <s v="Friday"/>
    <x v="0"/>
    <x v="9"/>
    <n v="3"/>
    <n v="120"/>
  </r>
  <r>
    <d v="2020-05-01T00:00:00"/>
    <s v="Friday"/>
    <x v="0"/>
    <x v="10"/>
    <n v="10"/>
    <n v="710"/>
  </r>
  <r>
    <d v="2020-05-01T00:00:00"/>
    <s v="Friday"/>
    <x v="0"/>
    <x v="11"/>
    <n v="9"/>
    <n v="214"/>
  </r>
  <r>
    <d v="2020-05-01T00:00:00"/>
    <s v="Friday"/>
    <x v="0"/>
    <x v="12"/>
    <n v="8"/>
    <n v="240"/>
  </r>
  <r>
    <d v="2020-05-02T00:00:00"/>
    <s v="Saturday"/>
    <x v="0"/>
    <x v="0"/>
    <n v="18"/>
    <n v="872"/>
  </r>
  <r>
    <d v="2020-05-02T00:00:00"/>
    <s v="Saturday"/>
    <x v="0"/>
    <x v="1"/>
    <n v="10"/>
    <n v="150"/>
  </r>
  <r>
    <d v="2020-05-02T00:00:00"/>
    <s v="Saturday"/>
    <x v="0"/>
    <x v="2"/>
    <n v="1"/>
    <n v="20"/>
  </r>
  <r>
    <d v="2020-05-02T00:00:00"/>
    <s v="Saturday"/>
    <x v="0"/>
    <x v="3"/>
    <n v="2"/>
    <n v="150"/>
  </r>
  <r>
    <d v="2020-05-02T00:00:00"/>
    <s v="Saturday"/>
    <x v="0"/>
    <x v="4"/>
    <n v="27"/>
    <n v="640"/>
  </r>
  <r>
    <d v="2020-05-02T00:00:00"/>
    <s v="Saturday"/>
    <x v="0"/>
    <x v="5"/>
    <n v="32"/>
    <n v="462"/>
  </r>
  <r>
    <d v="2020-05-02T00:00:00"/>
    <s v="Saturday"/>
    <x v="0"/>
    <x v="6"/>
    <n v="4"/>
    <n v="20"/>
  </r>
  <r>
    <d v="2020-05-02T00:00:00"/>
    <s v="Saturday"/>
    <x v="0"/>
    <x v="7"/>
    <n v="23"/>
    <n v="575"/>
  </r>
  <r>
    <d v="2020-05-02T00:00:00"/>
    <s v="Saturday"/>
    <x v="0"/>
    <x v="9"/>
    <n v="1"/>
    <n v="95"/>
  </r>
  <r>
    <d v="2020-05-02T00:00:00"/>
    <s v="Saturday"/>
    <x v="0"/>
    <x v="10"/>
    <n v="7"/>
    <n v="508"/>
  </r>
  <r>
    <d v="2020-05-02T00:00:00"/>
    <s v="Saturday"/>
    <x v="0"/>
    <x v="11"/>
    <n v="10"/>
    <n v="244"/>
  </r>
  <r>
    <d v="2020-05-02T00:00:00"/>
    <s v="Saturday"/>
    <x v="0"/>
    <x v="12"/>
    <n v="4"/>
    <n v="120"/>
  </r>
  <r>
    <d v="2020-05-03T00:00:00"/>
    <s v="Sunday"/>
    <x v="0"/>
    <x v="0"/>
    <n v="9"/>
    <n v="245.99982000000006"/>
  </r>
  <r>
    <d v="2020-05-03T00:00:00"/>
    <s v="Sunday"/>
    <x v="0"/>
    <x v="2"/>
    <n v="2"/>
    <n v="170.00000400000002"/>
  </r>
  <r>
    <d v="2020-05-03T00:00:00"/>
    <s v="Sunday"/>
    <x v="0"/>
    <x v="13"/>
    <n v="1"/>
    <n v="10.000028"/>
  </r>
  <r>
    <d v="2020-05-03T00:00:00"/>
    <s v="Sunday"/>
    <x v="0"/>
    <x v="4"/>
    <n v="6"/>
    <n v="360.00006400000001"/>
  </r>
  <r>
    <d v="2020-05-03T00:00:00"/>
    <s v="Sunday"/>
    <x v="0"/>
    <x v="5"/>
    <n v="23"/>
    <n v="390.00019200000003"/>
  </r>
  <r>
    <d v="2020-05-03T00:00:00"/>
    <s v="Sunday"/>
    <x v="0"/>
    <x v="7"/>
    <n v="3"/>
    <n v="74.999925000000005"/>
  </r>
  <r>
    <d v="2020-05-03T00:00:00"/>
    <s v="Sunday"/>
    <x v="0"/>
    <x v="8"/>
    <n v="6"/>
    <n v="199.99997000000002"/>
  </r>
  <r>
    <d v="2020-05-03T00:00:00"/>
    <s v="Sunday"/>
    <x v="0"/>
    <x v="9"/>
    <n v="1"/>
    <n v="95.000010000000003"/>
  </r>
  <r>
    <d v="2020-05-03T00:00:00"/>
    <s v="Sunday"/>
    <x v="0"/>
    <x v="10"/>
    <n v="9"/>
    <n v="595.00006400000007"/>
  </r>
  <r>
    <d v="2020-05-03T00:00:00"/>
    <s v="Sunday"/>
    <x v="0"/>
    <x v="11"/>
    <n v="4"/>
    <n v="106"/>
  </r>
  <r>
    <d v="2020-05-03T00:00:00"/>
    <s v="Sunday"/>
    <x v="0"/>
    <x v="12"/>
    <n v="5"/>
    <n v="145"/>
  </r>
  <r>
    <d v="2020-05-04T00:00:00"/>
    <s v="Monday"/>
    <x v="0"/>
    <x v="14"/>
    <n v="0"/>
    <n v="0"/>
  </r>
  <r>
    <d v="2020-05-05T00:00:00"/>
    <s v="Tuesday"/>
    <x v="0"/>
    <x v="0"/>
    <n v="2"/>
    <n v="128"/>
  </r>
  <r>
    <d v="2020-05-05T00:00:00"/>
    <s v="Tuesday"/>
    <x v="0"/>
    <x v="2"/>
    <n v="2"/>
    <n v="40"/>
  </r>
  <r>
    <d v="2020-05-05T00:00:00"/>
    <s v="Tuesday"/>
    <x v="0"/>
    <x v="4"/>
    <n v="1"/>
    <n v="5"/>
  </r>
  <r>
    <d v="2020-05-05T00:00:00"/>
    <s v="Tuesday"/>
    <x v="0"/>
    <x v="5"/>
    <n v="8"/>
    <n v="100"/>
  </r>
  <r>
    <d v="2020-05-05T00:00:00"/>
    <s v="Tuesday"/>
    <x v="0"/>
    <x v="7"/>
    <n v="4"/>
    <n v="100"/>
  </r>
  <r>
    <d v="2020-05-05T00:00:00"/>
    <s v="Tuesday"/>
    <x v="0"/>
    <x v="9"/>
    <n v="10"/>
    <n v="518"/>
  </r>
  <r>
    <d v="2020-05-05T00:00:00"/>
    <s v="Tuesday"/>
    <x v="0"/>
    <x v="10"/>
    <n v="1"/>
    <n v="68"/>
  </r>
  <r>
    <d v="2020-05-05T00:00:00"/>
    <s v="Tuesday"/>
    <x v="0"/>
    <x v="12"/>
    <n v="2"/>
    <n v="60"/>
  </r>
  <r>
    <d v="2020-05-06T00:00:00"/>
    <s v="Wednesday"/>
    <x v="0"/>
    <x v="0"/>
    <n v="2"/>
    <n v="96"/>
  </r>
  <r>
    <d v="2020-05-06T00:00:00"/>
    <s v="Wednesday"/>
    <x v="0"/>
    <x v="2"/>
    <n v="1"/>
    <n v="20"/>
  </r>
  <r>
    <d v="2020-05-06T00:00:00"/>
    <s v="Wednesday"/>
    <x v="0"/>
    <x v="3"/>
    <n v="2"/>
    <n v="150"/>
  </r>
  <r>
    <d v="2020-05-06T00:00:00"/>
    <s v="Wednesday"/>
    <x v="0"/>
    <x v="15"/>
    <n v="2"/>
    <n v="20"/>
  </r>
  <r>
    <d v="2020-05-06T00:00:00"/>
    <s v="Wednesday"/>
    <x v="0"/>
    <x v="4"/>
    <n v="15"/>
    <n v="240"/>
  </r>
  <r>
    <d v="2020-05-06T00:00:00"/>
    <s v="Wednesday"/>
    <x v="0"/>
    <x v="5"/>
    <n v="5"/>
    <n v="255"/>
  </r>
  <r>
    <d v="2020-05-06T00:00:00"/>
    <s v="Wednesday"/>
    <x v="0"/>
    <x v="4"/>
    <n v="1"/>
    <n v="45"/>
  </r>
  <r>
    <d v="2020-05-06T00:00:00"/>
    <s v="Wednesday"/>
    <x v="0"/>
    <x v="7"/>
    <n v="4"/>
    <n v="565"/>
  </r>
  <r>
    <d v="2020-05-06T00:00:00"/>
    <s v="Wednesday"/>
    <x v="0"/>
    <x v="9"/>
    <n v="10"/>
    <n v="577"/>
  </r>
  <r>
    <d v="2020-05-06T00:00:00"/>
    <s v="Wednesday"/>
    <x v="0"/>
    <x v="10"/>
    <n v="5"/>
    <n v="272"/>
  </r>
  <r>
    <d v="2020-05-06T00:00:00"/>
    <s v="Wednesday"/>
    <x v="0"/>
    <x v="12"/>
    <n v="5"/>
    <n v="150"/>
  </r>
  <r>
    <d v="2020-05-07T00:00:00"/>
    <s v="Thursday"/>
    <x v="0"/>
    <x v="0"/>
    <n v="2"/>
    <n v="96"/>
  </r>
  <r>
    <d v="2020-05-07T00:00:00"/>
    <s v="Thursday"/>
    <x v="0"/>
    <x v="3"/>
    <n v="3"/>
    <n v="225"/>
  </r>
  <r>
    <d v="2020-05-07T00:00:00"/>
    <s v="Thursday"/>
    <x v="0"/>
    <x v="4"/>
    <n v="7"/>
    <n v="70"/>
  </r>
  <r>
    <d v="2020-05-07T00:00:00"/>
    <s v="Thursday"/>
    <x v="0"/>
    <x v="5"/>
    <n v="9"/>
    <n v="880"/>
  </r>
  <r>
    <d v="2020-05-07T00:00:00"/>
    <s v="Thursday"/>
    <x v="0"/>
    <x v="7"/>
    <n v="19"/>
    <n v="475"/>
  </r>
  <r>
    <d v="2020-05-07T00:00:00"/>
    <s v="Thursday"/>
    <x v="0"/>
    <x v="8"/>
    <n v="4"/>
    <n v="130"/>
  </r>
  <r>
    <d v="2020-05-07T00:00:00"/>
    <s v="Thursday"/>
    <x v="0"/>
    <x v="9"/>
    <n v="13"/>
    <n v="528"/>
  </r>
  <r>
    <d v="2020-05-07T00:00:00"/>
    <s v="Thursday"/>
    <x v="0"/>
    <x v="10"/>
    <n v="2"/>
    <n v="168"/>
  </r>
  <r>
    <d v="2020-05-08T00:00:00"/>
    <s v="Friday"/>
    <x v="1"/>
    <x v="4"/>
    <n v="13"/>
    <n v="410"/>
  </r>
  <r>
    <d v="2020-05-08T00:00:00"/>
    <s v="Friday"/>
    <x v="1"/>
    <x v="5"/>
    <n v="7"/>
    <n v="130"/>
  </r>
  <r>
    <d v="2020-05-08T00:00:00"/>
    <s v="Friday"/>
    <x v="1"/>
    <x v="9"/>
    <n v="2"/>
    <n v="80"/>
  </r>
  <r>
    <d v="2020-05-08T00:00:00"/>
    <s v="Friday"/>
    <x v="1"/>
    <x v="10"/>
    <n v="1"/>
    <n v="68"/>
  </r>
  <r>
    <d v="2020-05-08T00:00:00"/>
    <s v="Friday"/>
    <x v="1"/>
    <x v="2"/>
    <n v="4"/>
    <n v="375"/>
  </r>
  <r>
    <d v="2020-05-08T00:00:00"/>
    <s v="Friday"/>
    <x v="1"/>
    <x v="12"/>
    <n v="3"/>
    <n v="90"/>
  </r>
  <r>
    <d v="2020-05-09T00:00:00"/>
    <s v="Saturday"/>
    <x v="1"/>
    <x v="0"/>
    <n v="8"/>
    <n v="405"/>
  </r>
  <r>
    <d v="2020-05-09T00:00:00"/>
    <s v="Saturday"/>
    <x v="1"/>
    <x v="1"/>
    <n v="19"/>
    <n v="285"/>
  </r>
  <r>
    <d v="2020-05-09T00:00:00"/>
    <s v="Saturday"/>
    <x v="1"/>
    <x v="4"/>
    <n v="56"/>
    <n v="1395"/>
  </r>
  <r>
    <d v="2020-05-09T00:00:00"/>
    <s v="Saturday"/>
    <x v="1"/>
    <x v="5"/>
    <n v="34"/>
    <n v="480"/>
  </r>
  <r>
    <d v="2020-05-09T00:00:00"/>
    <s v="Saturday"/>
    <x v="1"/>
    <x v="6"/>
    <n v="25"/>
    <n v="125"/>
  </r>
  <r>
    <d v="2020-05-09T00:00:00"/>
    <s v="Saturday"/>
    <x v="1"/>
    <x v="7"/>
    <n v="17"/>
    <n v="425"/>
  </r>
  <r>
    <d v="2020-05-09T00:00:00"/>
    <s v="Saturday"/>
    <x v="1"/>
    <x v="8"/>
    <n v="10"/>
    <n v="290"/>
  </r>
  <r>
    <d v="2020-05-09T00:00:00"/>
    <s v="Saturday"/>
    <x v="1"/>
    <x v="9"/>
    <n v="20"/>
    <n v="1413"/>
  </r>
  <r>
    <d v="2020-05-09T00:00:00"/>
    <s v="Saturday"/>
    <x v="1"/>
    <x v="10"/>
    <n v="5"/>
    <n v="398"/>
  </r>
  <r>
    <d v="2020-05-09T00:00:00"/>
    <s v="Saturday"/>
    <x v="1"/>
    <x v="12"/>
    <n v="6"/>
    <n v="180"/>
  </r>
  <r>
    <d v="2020-05-10T00:00:00"/>
    <s v="Sunday"/>
    <x v="1"/>
    <x v="0"/>
    <n v="7"/>
    <n v="452"/>
  </r>
  <r>
    <d v="2020-05-10T00:00:00"/>
    <s v="Sunday"/>
    <x v="1"/>
    <x v="1"/>
    <n v="2"/>
    <n v="30"/>
  </r>
  <r>
    <d v="2020-05-10T00:00:00"/>
    <s v="Sunday"/>
    <x v="1"/>
    <x v="4"/>
    <n v="75"/>
    <n v="565"/>
  </r>
  <r>
    <d v="2020-05-10T00:00:00"/>
    <s v="Sunday"/>
    <x v="1"/>
    <x v="5"/>
    <n v="21"/>
    <n v="280"/>
  </r>
  <r>
    <d v="2020-05-10T00:00:00"/>
    <s v="Sunday"/>
    <x v="1"/>
    <x v="6"/>
    <n v="48"/>
    <n v="225"/>
  </r>
  <r>
    <d v="2020-05-10T00:00:00"/>
    <s v="Sunday"/>
    <x v="1"/>
    <x v="8"/>
    <n v="1"/>
    <n v="30"/>
  </r>
  <r>
    <d v="2020-05-10T00:00:00"/>
    <s v="Sunday"/>
    <x v="1"/>
    <x v="9"/>
    <n v="1"/>
    <n v="40"/>
  </r>
  <r>
    <d v="2020-05-10T00:00:00"/>
    <s v="Sunday"/>
    <x v="1"/>
    <x v="10"/>
    <n v="2"/>
    <n v="193"/>
  </r>
  <r>
    <d v="2020-05-10T00:00:00"/>
    <s v="Sunday"/>
    <x v="1"/>
    <x v="3"/>
    <n v="2"/>
    <n v="150"/>
  </r>
  <r>
    <d v="2020-05-10T00:00:00"/>
    <s v="Sunday"/>
    <x v="1"/>
    <x v="12"/>
    <n v="6"/>
    <n v="180"/>
  </r>
  <r>
    <d v="2020-05-11T00:00:00"/>
    <s v="Monday"/>
    <x v="1"/>
    <x v="0"/>
    <n v="3"/>
    <n v="144"/>
  </r>
  <r>
    <d v="2020-05-11T00:00:00"/>
    <s v="Monday"/>
    <x v="1"/>
    <x v="4"/>
    <n v="14"/>
    <n v="85"/>
  </r>
  <r>
    <d v="2020-05-11T00:00:00"/>
    <s v="Monday"/>
    <x v="1"/>
    <x v="5"/>
    <n v="2"/>
    <n v="40"/>
  </r>
  <r>
    <d v="2020-05-11T00:00:00"/>
    <s v="Monday"/>
    <x v="1"/>
    <x v="9"/>
    <n v="5"/>
    <n v="170"/>
  </r>
  <r>
    <d v="2020-05-11T00:00:00"/>
    <s v="Monday"/>
    <x v="1"/>
    <x v="3"/>
    <n v="4"/>
    <n v="300"/>
  </r>
  <r>
    <d v="2020-05-11T00:00:00"/>
    <s v="Monday"/>
    <x v="1"/>
    <x v="12"/>
    <n v="1"/>
    <n v="20"/>
  </r>
  <r>
    <d v="2020-05-12T00:00:00"/>
    <s v="Tuesday"/>
    <x v="1"/>
    <x v="14"/>
    <n v="0"/>
    <n v="0"/>
  </r>
  <r>
    <d v="2020-05-13T00:00:00"/>
    <s v="Wednesday"/>
    <x v="1"/>
    <x v="0"/>
    <n v="2"/>
    <n v="96"/>
  </r>
  <r>
    <d v="2020-05-13T00:00:00"/>
    <s v="Wednesday"/>
    <x v="1"/>
    <x v="1"/>
    <n v="3"/>
    <n v="45"/>
  </r>
  <r>
    <d v="2020-05-13T00:00:00"/>
    <s v="Wednesday"/>
    <x v="1"/>
    <x v="4"/>
    <n v="12"/>
    <n v="180"/>
  </r>
  <r>
    <d v="2020-05-13T00:00:00"/>
    <s v="Wednesday"/>
    <x v="1"/>
    <x v="5"/>
    <n v="11"/>
    <n v="180"/>
  </r>
  <r>
    <d v="2020-05-13T00:00:00"/>
    <s v="Wednesday"/>
    <x v="1"/>
    <x v="6"/>
    <n v="33"/>
    <n v="165"/>
  </r>
  <r>
    <d v="2020-05-13T00:00:00"/>
    <s v="Wednesday"/>
    <x v="1"/>
    <x v="8"/>
    <n v="2"/>
    <n v="60"/>
  </r>
  <r>
    <d v="2020-05-13T00:00:00"/>
    <s v="Wednesday"/>
    <x v="1"/>
    <x v="9"/>
    <n v="12"/>
    <n v="669"/>
  </r>
  <r>
    <d v="2020-05-13T00:00:00"/>
    <s v="Wednesday"/>
    <x v="1"/>
    <x v="10"/>
    <n v="3"/>
    <n v="210"/>
  </r>
  <r>
    <d v="2020-05-13T00:00:00"/>
    <s v="Wednesday"/>
    <x v="1"/>
    <x v="2"/>
    <n v="1"/>
    <n v="20"/>
  </r>
  <r>
    <d v="2020-05-13T00:00:00"/>
    <s v="Wednesday"/>
    <x v="1"/>
    <x v="3"/>
    <n v="11"/>
    <n v="825"/>
  </r>
  <r>
    <d v="2020-05-13T00:00:00"/>
    <s v="Wednesday"/>
    <x v="1"/>
    <x v="12"/>
    <n v="9"/>
    <n v="265"/>
  </r>
  <r>
    <d v="2020-05-14T00:00:00"/>
    <s v="Thursday"/>
    <x v="1"/>
    <x v="0"/>
    <n v="5"/>
    <n v="202"/>
  </r>
  <r>
    <d v="2020-05-14T00:00:00"/>
    <s v="Thursday"/>
    <x v="1"/>
    <x v="1"/>
    <n v="8"/>
    <n v="120"/>
  </r>
  <r>
    <d v="2020-05-14T00:00:00"/>
    <s v="Thursday"/>
    <x v="1"/>
    <x v="4"/>
    <n v="13"/>
    <n v="198"/>
  </r>
  <r>
    <d v="2020-05-14T00:00:00"/>
    <s v="Thursday"/>
    <x v="1"/>
    <x v="5"/>
    <n v="6"/>
    <n v="135"/>
  </r>
  <r>
    <d v="2020-05-14T00:00:00"/>
    <s v="Thursday"/>
    <x v="1"/>
    <x v="6"/>
    <n v="6"/>
    <n v="30"/>
  </r>
  <r>
    <d v="2020-05-14T00:00:00"/>
    <s v="Thursday"/>
    <x v="1"/>
    <x v="7"/>
    <n v="1"/>
    <n v="25"/>
  </r>
  <r>
    <d v="2020-05-14T00:00:00"/>
    <s v="Thursday"/>
    <x v="1"/>
    <x v="9"/>
    <n v="13"/>
    <n v="738"/>
  </r>
  <r>
    <d v="2020-05-14T00:00:00"/>
    <s v="Thursday"/>
    <x v="1"/>
    <x v="16"/>
    <n v="1"/>
    <n v="70"/>
  </r>
  <r>
    <d v="2020-05-14T00:00:00"/>
    <s v="Thursday"/>
    <x v="1"/>
    <x v="3"/>
    <n v="2"/>
    <n v="150"/>
  </r>
  <r>
    <d v="2020-05-14T00:00:00"/>
    <s v="Thursday"/>
    <x v="1"/>
    <x v="12"/>
    <n v="8"/>
    <n v="230"/>
  </r>
  <r>
    <d v="2020-05-15T00:00:00"/>
    <s v="Friday"/>
    <x v="2"/>
    <x v="0"/>
    <n v="1"/>
    <n v="48"/>
  </r>
  <r>
    <d v="2020-05-15T00:00:00"/>
    <s v="Friday"/>
    <x v="2"/>
    <x v="1"/>
    <n v="6"/>
    <n v="90"/>
  </r>
  <r>
    <d v="2020-05-15T00:00:00"/>
    <s v="Friday"/>
    <x v="2"/>
    <x v="4"/>
    <n v="4"/>
    <n v="75"/>
  </r>
  <r>
    <d v="2020-05-15T00:00:00"/>
    <s v="Friday"/>
    <x v="2"/>
    <x v="5"/>
    <n v="18"/>
    <n v="300"/>
  </r>
  <r>
    <d v="2020-05-15T00:00:00"/>
    <s v="Friday"/>
    <x v="2"/>
    <x v="8"/>
    <n v="2"/>
    <n v="60"/>
  </r>
  <r>
    <d v="2020-05-15T00:00:00"/>
    <s v="Friday"/>
    <x v="2"/>
    <x v="9"/>
    <n v="5"/>
    <n v="170"/>
  </r>
  <r>
    <d v="2020-05-15T00:00:00"/>
    <s v="Friday"/>
    <x v="2"/>
    <x v="10"/>
    <n v="4"/>
    <n v="272"/>
  </r>
  <r>
    <d v="2020-05-15T00:00:00"/>
    <s v="Friday"/>
    <x v="2"/>
    <x v="17"/>
    <n v="1"/>
    <n v="30"/>
  </r>
  <r>
    <d v="2020-05-15T00:00:00"/>
    <s v="Friday"/>
    <x v="2"/>
    <x v="3"/>
    <n v="3"/>
    <n v="225"/>
  </r>
  <r>
    <d v="2020-05-15T00:00:00"/>
    <s v="Friday"/>
    <x v="2"/>
    <x v="12"/>
    <n v="1"/>
    <n v="30"/>
  </r>
  <r>
    <d v="2020-05-16T00:00:00"/>
    <s v="Saturday"/>
    <x v="2"/>
    <x v="1"/>
    <n v="5"/>
    <n v="75"/>
  </r>
  <r>
    <d v="2020-05-16T00:00:00"/>
    <s v="Saturday"/>
    <x v="2"/>
    <x v="4"/>
    <n v="12"/>
    <n v="97"/>
  </r>
  <r>
    <d v="2020-05-16T00:00:00"/>
    <s v="Saturday"/>
    <x v="2"/>
    <x v="5"/>
    <n v="4"/>
    <n v="80"/>
  </r>
  <r>
    <d v="2020-05-16T00:00:00"/>
    <s v="Saturday"/>
    <x v="2"/>
    <x v="7"/>
    <n v="2"/>
    <n v="50"/>
  </r>
  <r>
    <d v="2020-05-16T00:00:00"/>
    <s v="Saturday"/>
    <x v="2"/>
    <x v="8"/>
    <n v="2"/>
    <n v="60"/>
  </r>
  <r>
    <d v="2020-05-16T00:00:00"/>
    <s v="Saturday"/>
    <x v="2"/>
    <x v="9"/>
    <n v="1"/>
    <n v="40"/>
  </r>
  <r>
    <d v="2020-05-16T00:00:00"/>
    <s v="Saturday"/>
    <x v="2"/>
    <x v="10"/>
    <n v="3"/>
    <n v="204"/>
  </r>
  <r>
    <d v="2020-05-17T00:00:00"/>
    <s v="Sunday"/>
    <x v="2"/>
    <x v="0"/>
    <n v="1"/>
    <n v="48"/>
  </r>
  <r>
    <d v="2020-05-17T00:00:00"/>
    <s v="Sunday"/>
    <x v="2"/>
    <x v="1"/>
    <n v="1"/>
    <n v="15"/>
  </r>
  <r>
    <d v="2020-05-17T00:00:00"/>
    <s v="Sunday"/>
    <x v="2"/>
    <x v="4"/>
    <n v="5"/>
    <n v="110"/>
  </r>
  <r>
    <d v="2020-05-17T00:00:00"/>
    <s v="Sunday"/>
    <x v="2"/>
    <x v="5"/>
    <n v="27"/>
    <n v="360"/>
  </r>
  <r>
    <d v="2020-05-17T00:00:00"/>
    <s v="Sunday"/>
    <x v="2"/>
    <x v="7"/>
    <n v="24"/>
    <n v="600"/>
  </r>
  <r>
    <d v="2020-05-17T00:00:00"/>
    <s v="Sunday"/>
    <x v="2"/>
    <x v="8"/>
    <n v="13"/>
    <n v="360"/>
  </r>
  <r>
    <d v="2020-05-17T00:00:00"/>
    <s v="Sunday"/>
    <x v="2"/>
    <x v="9"/>
    <n v="11"/>
    <n v="511"/>
  </r>
  <r>
    <d v="2020-05-17T00:00:00"/>
    <s v="Sunday"/>
    <x v="2"/>
    <x v="10"/>
    <n v="2"/>
    <n v="136"/>
  </r>
  <r>
    <d v="2020-05-17T00:00:00"/>
    <s v="Sunday"/>
    <x v="2"/>
    <x v="3"/>
    <n v="1"/>
    <n v="75"/>
  </r>
  <r>
    <d v="2020-05-17T00:00:00"/>
    <s v="Sunday"/>
    <x v="2"/>
    <x v="12"/>
    <n v="4"/>
    <n v="115"/>
  </r>
  <r>
    <d v="2020-05-18T00:00:00"/>
    <s v="Monday"/>
    <x v="2"/>
    <x v="14"/>
    <n v="0"/>
    <n v="0"/>
  </r>
  <r>
    <d v="2020-05-19T00:00:00"/>
    <s v="Tuesday"/>
    <x v="2"/>
    <x v="0"/>
    <n v="2"/>
    <n v="96"/>
  </r>
  <r>
    <d v="2020-05-19T00:00:00"/>
    <s v="Tuesday"/>
    <x v="2"/>
    <x v="1"/>
    <n v="2"/>
    <n v="30"/>
  </r>
  <r>
    <d v="2020-05-19T00:00:00"/>
    <s v="Tuesday"/>
    <x v="2"/>
    <x v="4"/>
    <n v="11"/>
    <n v="20"/>
  </r>
  <r>
    <d v="2020-05-19T00:00:00"/>
    <s v="Tuesday"/>
    <x v="2"/>
    <x v="5"/>
    <n v="32"/>
    <n v="430"/>
  </r>
  <r>
    <d v="2020-05-19T00:00:00"/>
    <s v="Tuesday"/>
    <x v="2"/>
    <x v="6"/>
    <n v="22"/>
    <n v="110"/>
  </r>
  <r>
    <d v="2020-05-19T00:00:00"/>
    <s v="Tuesday"/>
    <x v="2"/>
    <x v="7"/>
    <n v="39"/>
    <n v="975"/>
  </r>
  <r>
    <d v="2020-05-19T00:00:00"/>
    <s v="Tuesday"/>
    <x v="2"/>
    <x v="8"/>
    <n v="15"/>
    <n v="575"/>
  </r>
  <r>
    <d v="2020-05-19T00:00:00"/>
    <s v="Tuesday"/>
    <x v="2"/>
    <x v="9"/>
    <n v="2"/>
    <n v="198"/>
  </r>
  <r>
    <d v="2020-05-19T00:00:00"/>
    <s v="Tuesday"/>
    <x v="2"/>
    <x v="16"/>
    <n v="1"/>
    <n v="70"/>
  </r>
  <r>
    <d v="2020-05-19T00:00:00"/>
    <s v="Tuesday"/>
    <x v="2"/>
    <x v="3"/>
    <n v="7"/>
    <n v="525"/>
  </r>
  <r>
    <d v="2020-05-19T00:00:00"/>
    <s v="Tuesday"/>
    <x v="2"/>
    <x v="12"/>
    <n v="6"/>
    <n v="180"/>
  </r>
  <r>
    <d v="2020-05-20T00:00:00"/>
    <s v="Wednesday"/>
    <x v="2"/>
    <x v="4"/>
    <n v="4"/>
    <n v="40"/>
  </r>
  <r>
    <d v="2020-05-20T00:00:00"/>
    <s v="Wednesday"/>
    <x v="2"/>
    <x v="5"/>
    <n v="5"/>
    <n v="70"/>
  </r>
  <r>
    <d v="2020-05-20T00:00:00"/>
    <s v="Wednesday"/>
    <x v="2"/>
    <x v="6"/>
    <n v="5"/>
    <n v="25"/>
  </r>
  <r>
    <d v="2020-05-20T00:00:00"/>
    <s v="Wednesday"/>
    <x v="2"/>
    <x v="8"/>
    <n v="13"/>
    <n v="270"/>
  </r>
  <r>
    <d v="2020-05-20T00:00:00"/>
    <s v="Wednesday"/>
    <x v="2"/>
    <x v="9"/>
    <n v="7"/>
    <n v="645"/>
  </r>
  <r>
    <d v="2020-05-20T00:00:00"/>
    <s v="Wednesday"/>
    <x v="2"/>
    <x v="3"/>
    <n v="3"/>
    <n v="225"/>
  </r>
  <r>
    <d v="2020-05-20T00:00:00"/>
    <s v="Wednesday"/>
    <x v="2"/>
    <x v="12"/>
    <n v="3"/>
    <n v="90"/>
  </r>
  <r>
    <d v="2020-05-21T00:00:00"/>
    <s v="Thursday"/>
    <x v="2"/>
    <x v="0"/>
    <n v="3"/>
    <n v="144"/>
  </r>
  <r>
    <d v="2020-05-21T00:00:00"/>
    <s v="Thursday"/>
    <x v="2"/>
    <x v="5"/>
    <n v="12"/>
    <n v="150"/>
  </r>
  <r>
    <d v="2020-05-21T00:00:00"/>
    <s v="Thursday"/>
    <x v="2"/>
    <x v="8"/>
    <n v="1"/>
    <n v="30"/>
  </r>
  <r>
    <d v="2020-05-21T00:00:00"/>
    <s v="Thursday"/>
    <x v="2"/>
    <x v="9"/>
    <n v="7"/>
    <n v="634"/>
  </r>
  <r>
    <d v="2020-05-21T00:00:00"/>
    <s v="Thursday"/>
    <x v="2"/>
    <x v="3"/>
    <n v="4"/>
    <n v="300"/>
  </r>
  <r>
    <d v="2020-05-21T00:00:00"/>
    <s v="Thursday"/>
    <x v="2"/>
    <x v="12"/>
    <n v="5"/>
    <n v="160"/>
  </r>
  <r>
    <d v="2020-05-22T00:00:00"/>
    <s v="Friday"/>
    <x v="3"/>
    <x v="4"/>
    <n v="1"/>
    <n v="10"/>
  </r>
  <r>
    <d v="2020-05-22T00:00:00"/>
    <s v="Friday"/>
    <x v="3"/>
    <x v="5"/>
    <n v="13"/>
    <n v="150"/>
  </r>
  <r>
    <d v="2020-05-22T00:00:00"/>
    <s v="Friday"/>
    <x v="3"/>
    <x v="6"/>
    <n v="32"/>
    <n v="160"/>
  </r>
  <r>
    <d v="2020-05-22T00:00:00"/>
    <s v="Friday"/>
    <x v="3"/>
    <x v="8"/>
    <n v="7"/>
    <n v="290"/>
  </r>
  <r>
    <d v="2020-05-22T00:00:00"/>
    <s v="Friday"/>
    <x v="3"/>
    <x v="9"/>
    <n v="6"/>
    <n v="387"/>
  </r>
  <r>
    <d v="2020-05-22T00:00:00"/>
    <s v="Friday"/>
    <x v="3"/>
    <x v="2"/>
    <n v="4"/>
    <n v="80"/>
  </r>
  <r>
    <d v="2020-05-22T00:00:00"/>
    <s v="Friday"/>
    <x v="3"/>
    <x v="12"/>
    <n v="3"/>
    <n v="90"/>
  </r>
  <r>
    <d v="2020-05-23T00:00:00"/>
    <s v="Saturday"/>
    <x v="3"/>
    <x v="0"/>
    <n v="4"/>
    <n v="154"/>
  </r>
  <r>
    <d v="2020-05-23T00:00:00"/>
    <s v="Saturday"/>
    <x v="3"/>
    <x v="4"/>
    <n v="9"/>
    <n v="200"/>
  </r>
  <r>
    <d v="2020-05-23T00:00:00"/>
    <s v="Saturday"/>
    <x v="3"/>
    <x v="5"/>
    <n v="13"/>
    <n v="161"/>
  </r>
  <r>
    <d v="2020-05-23T00:00:00"/>
    <s v="Saturday"/>
    <x v="3"/>
    <x v="8"/>
    <n v="18"/>
    <n v="425"/>
  </r>
  <r>
    <d v="2020-05-23T00:00:00"/>
    <s v="Saturday"/>
    <x v="3"/>
    <x v="9"/>
    <n v="15"/>
    <n v="681"/>
  </r>
  <r>
    <d v="2020-05-23T00:00:00"/>
    <s v="Saturday"/>
    <x v="3"/>
    <x v="10"/>
    <n v="1"/>
    <n v="125"/>
  </r>
  <r>
    <d v="2020-05-23T00:00:00"/>
    <s v="Saturday"/>
    <x v="3"/>
    <x v="12"/>
    <n v="5"/>
    <n v="150"/>
  </r>
  <r>
    <d v="2020-05-24T00:00:00"/>
    <s v="Sunday"/>
    <x v="3"/>
    <x v="14"/>
    <n v="0"/>
    <n v="0"/>
  </r>
  <r>
    <d v="2020-05-25T00:00:00"/>
    <s v="Monday"/>
    <x v="3"/>
    <x v="0"/>
    <n v="4"/>
    <n v="192"/>
  </r>
  <r>
    <d v="2020-05-25T00:00:00"/>
    <s v="Monday"/>
    <x v="3"/>
    <x v="4"/>
    <n v="12"/>
    <n v="70"/>
  </r>
  <r>
    <d v="2020-05-25T00:00:00"/>
    <s v="Monday"/>
    <x v="3"/>
    <x v="5"/>
    <n v="21"/>
    <n v="230"/>
  </r>
  <r>
    <d v="2020-05-25T00:00:00"/>
    <s v="Monday"/>
    <x v="3"/>
    <x v="7"/>
    <n v="7"/>
    <n v="175"/>
  </r>
  <r>
    <d v="2020-05-25T00:00:00"/>
    <s v="Monday"/>
    <x v="3"/>
    <x v="8"/>
    <n v="5"/>
    <n v="620"/>
  </r>
  <r>
    <d v="2020-05-25T00:00:00"/>
    <s v="Monday"/>
    <x v="3"/>
    <x v="9"/>
    <n v="10"/>
    <n v="310"/>
  </r>
  <r>
    <d v="2020-05-25T00:00:00"/>
    <s v="Monday"/>
    <x v="3"/>
    <x v="12"/>
    <n v="5"/>
    <n v="295"/>
  </r>
  <r>
    <d v="2020-05-26T00:00:00"/>
    <s v="Tuesday"/>
    <x v="3"/>
    <x v="0"/>
    <n v="2"/>
    <n v="96"/>
  </r>
  <r>
    <d v="2020-05-26T00:00:00"/>
    <s v="Tuesday"/>
    <x v="3"/>
    <x v="4"/>
    <n v="17"/>
    <n v="120"/>
  </r>
  <r>
    <d v="2020-05-26T00:00:00"/>
    <s v="Tuesday"/>
    <x v="3"/>
    <x v="5"/>
    <n v="9"/>
    <n v="90"/>
  </r>
  <r>
    <d v="2020-05-26T00:00:00"/>
    <s v="Tuesday"/>
    <x v="3"/>
    <x v="6"/>
    <n v="46"/>
    <n v="230"/>
  </r>
  <r>
    <d v="2020-05-26T00:00:00"/>
    <s v="Tuesday"/>
    <x v="3"/>
    <x v="7"/>
    <n v="2"/>
    <n v="50"/>
  </r>
  <r>
    <d v="2020-05-26T00:00:00"/>
    <s v="Tuesday"/>
    <x v="3"/>
    <x v="8"/>
    <n v="1"/>
    <n v="240"/>
  </r>
  <r>
    <d v="2020-05-26T00:00:00"/>
    <s v="Tuesday"/>
    <x v="3"/>
    <x v="9"/>
    <n v="3"/>
    <n v="30"/>
  </r>
  <r>
    <d v="2020-05-26T00:00:00"/>
    <s v="Tuesday"/>
    <x v="3"/>
    <x v="12"/>
    <n v="9"/>
    <n v="260"/>
  </r>
  <r>
    <d v="2020-05-27T00:00:00"/>
    <s v="Wednesday"/>
    <x v="3"/>
    <x v="4"/>
    <n v="1"/>
    <n v="5"/>
  </r>
  <r>
    <d v="2020-05-27T00:00:00"/>
    <s v="Wednesday"/>
    <x v="3"/>
    <x v="5"/>
    <n v="6"/>
    <n v="90"/>
  </r>
  <r>
    <d v="2020-05-27T00:00:00"/>
    <s v="Wednesday"/>
    <x v="3"/>
    <x v="7"/>
    <n v="2"/>
    <n v="50"/>
  </r>
  <r>
    <d v="2020-05-27T00:00:00"/>
    <s v="Wednesday"/>
    <x v="3"/>
    <x v="8"/>
    <n v="9"/>
    <n v="185"/>
  </r>
  <r>
    <d v="2020-05-27T00:00:00"/>
    <s v="Wednesday"/>
    <x v="3"/>
    <x v="9"/>
    <n v="4"/>
    <n v="328"/>
  </r>
  <r>
    <d v="2020-05-27T00:00:00"/>
    <s v="Wednesday"/>
    <x v="3"/>
    <x v="12"/>
    <n v="2"/>
    <n v="60"/>
  </r>
  <r>
    <d v="2020-05-28T00:00:00"/>
    <s v="Thursday"/>
    <x v="3"/>
    <x v="4"/>
    <n v="15"/>
    <n v="130"/>
  </r>
  <r>
    <d v="2020-05-28T00:00:00"/>
    <s v="Thursday"/>
    <x v="3"/>
    <x v="5"/>
    <n v="4"/>
    <n v="40"/>
  </r>
  <r>
    <d v="2020-05-28T00:00:00"/>
    <s v="Thursday"/>
    <x v="3"/>
    <x v="6"/>
    <n v="30"/>
    <n v="150"/>
  </r>
  <r>
    <d v="2020-05-28T00:00:00"/>
    <s v="Thursday"/>
    <x v="3"/>
    <x v="7"/>
    <n v="6"/>
    <n v="150"/>
  </r>
  <r>
    <d v="2020-05-28T00:00:00"/>
    <s v="Thursday"/>
    <x v="3"/>
    <x v="8"/>
    <n v="6"/>
    <n v="120"/>
  </r>
  <r>
    <d v="2020-05-28T00:00:00"/>
    <s v="Thursday"/>
    <x v="3"/>
    <x v="9"/>
    <n v="5"/>
    <n v="318"/>
  </r>
  <r>
    <d v="2020-05-28T00:00:00"/>
    <s v="Thursday"/>
    <x v="3"/>
    <x v="12"/>
    <n v="1"/>
    <n v="30"/>
  </r>
  <r>
    <d v="2020-05-29T00:00:00"/>
    <s v="Friday"/>
    <x v="3"/>
    <x v="0"/>
    <n v="2"/>
    <n v="96"/>
  </r>
  <r>
    <d v="2020-05-29T00:00:00"/>
    <s v="Friday"/>
    <x v="3"/>
    <x v="4"/>
    <n v="2"/>
    <n v="170"/>
  </r>
  <r>
    <d v="2020-05-29T00:00:00"/>
    <s v="Friday"/>
    <x v="3"/>
    <x v="5"/>
    <n v="5"/>
    <n v="60"/>
  </r>
  <r>
    <d v="2020-05-29T00:00:00"/>
    <s v="Friday"/>
    <x v="3"/>
    <x v="6"/>
    <n v="8"/>
    <n v="40"/>
  </r>
  <r>
    <d v="2020-05-29T00:00:00"/>
    <s v="Friday"/>
    <x v="3"/>
    <x v="7"/>
    <n v="4"/>
    <n v="100"/>
  </r>
  <r>
    <d v="2020-05-29T00:00:00"/>
    <s v="Friday"/>
    <x v="3"/>
    <x v="8"/>
    <n v="3"/>
    <n v="75"/>
  </r>
  <r>
    <d v="2020-05-29T00:00:00"/>
    <s v="Friday"/>
    <x v="3"/>
    <x v="9"/>
    <n v="3"/>
    <n v="123"/>
  </r>
  <r>
    <d v="2020-05-29T00:00:00"/>
    <s v="Friday"/>
    <x v="3"/>
    <x v="12"/>
    <n v="7"/>
    <n v="210"/>
  </r>
  <r>
    <d v="2020-05-30T00:00:00"/>
    <s v="Saturday"/>
    <x v="3"/>
    <x v="5"/>
    <n v="21"/>
    <n v="241"/>
  </r>
  <r>
    <d v="2020-05-30T00:00:00"/>
    <s v="Saturday"/>
    <x v="3"/>
    <x v="6"/>
    <n v="41"/>
    <n v="205"/>
  </r>
  <r>
    <d v="2020-05-30T00:00:00"/>
    <s v="Saturday"/>
    <x v="3"/>
    <x v="7"/>
    <n v="8"/>
    <n v="200"/>
  </r>
  <r>
    <d v="2020-05-30T00:00:00"/>
    <s v="Saturday"/>
    <x v="3"/>
    <x v="8"/>
    <n v="6"/>
    <n v="190"/>
  </r>
  <r>
    <d v="2020-05-30T00:00:00"/>
    <s v="Saturday"/>
    <x v="3"/>
    <x v="9"/>
    <n v="10"/>
    <n v="417"/>
  </r>
  <r>
    <d v="2020-05-30T00:00:00"/>
    <s v="Saturday"/>
    <x v="3"/>
    <x v="10"/>
    <n v="2"/>
    <n v="246"/>
  </r>
  <r>
    <d v="2020-05-30T00:00:00"/>
    <s v="Saturday"/>
    <x v="3"/>
    <x v="3"/>
    <n v="1"/>
    <n v="75"/>
  </r>
  <r>
    <d v="2020-05-30T00:00:00"/>
    <s v="Saturday"/>
    <x v="3"/>
    <x v="2"/>
    <n v="1"/>
    <n v="120"/>
  </r>
  <r>
    <d v="2020-05-30T00:00:00"/>
    <s v="Saturday"/>
    <x v="3"/>
    <x v="12"/>
    <n v="5"/>
    <n v="145"/>
  </r>
  <r>
    <d v="2020-05-31T00:00:00"/>
    <s v="Sunday"/>
    <x v="3"/>
    <x v="14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d v="2021-10-01T00:00:00"/>
    <s v="Friday"/>
    <x v="0"/>
    <x v="0"/>
    <n v="2"/>
    <n v="95.999904000000015"/>
    <m/>
  </r>
  <r>
    <d v="2021-10-02T00:00:00"/>
    <s v="Saturday"/>
    <x v="0"/>
    <x v="1"/>
    <n v="9"/>
    <n v="110.00028"/>
    <n v="12.222253333333335"/>
  </r>
  <r>
    <d v="2021-10-01T00:00:00"/>
    <s v="Friday"/>
    <x v="0"/>
    <x v="2"/>
    <n v="6"/>
    <n v="250.00001800000001"/>
    <m/>
  </r>
  <r>
    <d v="2021-10-01T00:00:00"/>
    <s v="Friday"/>
    <x v="0"/>
    <x v="3"/>
    <n v="9"/>
    <n v="48"/>
    <n v="5.333333333333333"/>
  </r>
  <r>
    <d v="2021-10-01T00:00:00"/>
    <s v="Friday"/>
    <x v="0"/>
    <x v="4"/>
    <n v="47"/>
    <n v="1351.0000350000003"/>
    <m/>
  </r>
  <r>
    <d v="2021-10-01T00:00:00"/>
    <s v="Friday"/>
    <x v="0"/>
    <x v="5"/>
    <n v="1"/>
    <n v="230.00005399999998"/>
    <m/>
  </r>
  <r>
    <d v="2021-10-01T00:00:00"/>
    <s v="Friday"/>
    <x v="0"/>
    <x v="6"/>
    <n v="10"/>
    <n v="640.00002999999992"/>
    <m/>
  </r>
  <r>
    <d v="2021-10-01T00:00:00"/>
    <s v="Friday"/>
    <x v="0"/>
    <x v="7"/>
    <n v="1"/>
    <n v="89.999951999999993"/>
    <m/>
  </r>
  <r>
    <d v="2021-10-01T00:00:00"/>
    <s v="Friday"/>
    <x v="0"/>
    <x v="8"/>
    <n v="9"/>
    <n v="675"/>
    <m/>
  </r>
  <r>
    <d v="2021-10-01T00:00:00"/>
    <s v="Friday"/>
    <x v="0"/>
    <x v="9"/>
    <n v="10"/>
    <n v="200.00001"/>
    <m/>
  </r>
  <r>
    <d v="2021-10-02T00:00:00"/>
    <s v="Saturday"/>
    <x v="0"/>
    <x v="0"/>
    <n v="16"/>
    <n v="915.99995200000001"/>
    <m/>
  </r>
  <r>
    <d v="2021-10-02T00:00:00"/>
    <s v="Saturday"/>
    <x v="0"/>
    <x v="10"/>
    <n v="4"/>
    <n v="60.000050000000009"/>
    <m/>
  </r>
  <r>
    <d v="2021-10-21T00:00:00"/>
    <s v="Thursday"/>
    <x v="1"/>
    <x v="1"/>
    <n v="27"/>
    <n v="1058"/>
    <n v="39.185185185185183"/>
  </r>
  <r>
    <d v="2021-10-02T00:00:00"/>
    <s v="Saturday"/>
    <x v="0"/>
    <x v="2"/>
    <n v="12"/>
    <n v="190.00007800000003"/>
    <m/>
  </r>
  <r>
    <d v="2021-10-02T00:00:00"/>
    <s v="Saturday"/>
    <x v="0"/>
    <x v="3"/>
    <n v="75"/>
    <n v="440"/>
    <n v="5.8666666666666663"/>
  </r>
  <r>
    <d v="2021-10-02T00:00:00"/>
    <s v="Saturday"/>
    <x v="0"/>
    <x v="4"/>
    <n v="3"/>
    <n v="86.999850000000009"/>
    <m/>
  </r>
  <r>
    <d v="2021-10-02T00:00:00"/>
    <s v="Saturday"/>
    <x v="0"/>
    <x v="5"/>
    <n v="5"/>
    <n v="115.00008600000001"/>
    <m/>
  </r>
  <r>
    <d v="2021-10-02T00:00:00"/>
    <s v="Saturday"/>
    <x v="0"/>
    <x v="6"/>
    <n v="3"/>
    <n v="120"/>
    <m/>
  </r>
  <r>
    <d v="2021-10-02T00:00:00"/>
    <s v="Saturday"/>
    <x v="0"/>
    <x v="7"/>
    <n v="8"/>
    <n v="638.99998400000004"/>
    <m/>
  </r>
  <r>
    <d v="2021-10-03T00:00:00"/>
    <s v="Sunday"/>
    <x v="0"/>
    <x v="0"/>
    <n v="1"/>
    <n v="112"/>
    <m/>
  </r>
  <r>
    <d v="2021-10-03T00:00:00"/>
    <s v="Sunday"/>
    <x v="0"/>
    <x v="10"/>
    <n v="2"/>
    <n v="30.000084000000001"/>
    <m/>
  </r>
  <r>
    <d v="2021-10-03T00:00:00"/>
    <s v="Sunday"/>
    <x v="0"/>
    <x v="8"/>
    <n v="2"/>
    <n v="150"/>
    <m/>
  </r>
  <r>
    <d v="2021-10-03T00:00:00"/>
    <s v="Sunday"/>
    <x v="0"/>
    <x v="1"/>
    <n v="1"/>
    <n v="20.000056000000001"/>
    <n v="20.000056000000001"/>
  </r>
  <r>
    <d v="2021-10-03T00:00:00"/>
    <s v="Sunday"/>
    <x v="0"/>
    <x v="3"/>
    <n v="34"/>
    <n v="187"/>
    <n v="5.5"/>
  </r>
  <r>
    <d v="2021-10-03T00:00:00"/>
    <s v="Sunday"/>
    <x v="0"/>
    <x v="4"/>
    <n v="24"/>
    <n v="684.00003000000015"/>
    <m/>
  </r>
  <r>
    <d v="2021-10-03T00:00:00"/>
    <s v="Sunday"/>
    <x v="0"/>
    <x v="6"/>
    <n v="4"/>
    <n v="389.99993600000005"/>
    <m/>
  </r>
  <r>
    <d v="2021-10-03T00:00:00"/>
    <s v="Sunday"/>
    <x v="0"/>
    <x v="7"/>
    <n v="2"/>
    <n v="146.00006400000001"/>
    <m/>
  </r>
  <r>
    <d v="2021-10-04T00:00:00"/>
    <s v="Monday"/>
    <x v="0"/>
    <x v="0"/>
    <n v="2"/>
    <n v="127.00004800000001"/>
    <m/>
  </r>
  <r>
    <d v="2021-10-04T00:00:00"/>
    <s v="Monday"/>
    <x v="0"/>
    <x v="10"/>
    <n v="2"/>
    <n v="30.000084000000001"/>
    <m/>
  </r>
  <r>
    <d v="2021-10-04T00:00:00"/>
    <s v="Monday"/>
    <x v="0"/>
    <x v="8"/>
    <n v="2"/>
    <n v="150"/>
    <m/>
  </r>
  <r>
    <d v="2021-10-04T00:00:00"/>
    <s v="Monday"/>
    <x v="0"/>
    <x v="11"/>
    <n v="24"/>
    <n v="229.20001400000001"/>
    <m/>
  </r>
  <r>
    <d v="2021-10-04T00:00:00"/>
    <s v="Monday"/>
    <x v="0"/>
    <x v="1"/>
    <n v="18"/>
    <n v="510.00036600000004"/>
    <n v="28.333353666666667"/>
  </r>
  <r>
    <d v="2021-10-04T00:00:00"/>
    <s v="Monday"/>
    <x v="0"/>
    <x v="2"/>
    <n v="45"/>
    <n v="575.00030400000003"/>
    <m/>
  </r>
  <r>
    <d v="2021-10-04T00:00:00"/>
    <s v="Monday"/>
    <x v="0"/>
    <x v="3"/>
    <n v="10"/>
    <n v="55"/>
    <n v="5.5"/>
  </r>
  <r>
    <d v="2021-10-04T00:00:00"/>
    <s v="Monday"/>
    <x v="0"/>
    <x v="4"/>
    <n v="9"/>
    <n v="253.99983000000003"/>
    <m/>
  </r>
  <r>
    <d v="2021-10-04T00:00:00"/>
    <s v="Monday"/>
    <x v="0"/>
    <x v="5"/>
    <n v="4"/>
    <n v="85.000119999999995"/>
    <m/>
  </r>
  <r>
    <d v="2021-10-04T00:00:00"/>
    <s v="Monday"/>
    <x v="0"/>
    <x v="6"/>
    <n v="19"/>
    <n v="1280.0000399999999"/>
    <m/>
  </r>
  <r>
    <d v="2021-10-04T00:00:00"/>
    <s v="Monday"/>
    <x v="0"/>
    <x v="7"/>
    <n v="12"/>
    <n v="385.00002200000006"/>
    <m/>
  </r>
  <r>
    <d v="2021-10-05T00:00:00"/>
    <s v="Tuesday"/>
    <x v="0"/>
    <x v="0"/>
    <n v="8"/>
    <n v="224.000224"/>
    <m/>
  </r>
  <r>
    <d v="2021-10-05T00:00:00"/>
    <s v="Tuesday"/>
    <x v="0"/>
    <x v="8"/>
    <n v="3"/>
    <n v="225"/>
    <m/>
  </r>
  <r>
    <d v="2021-10-05T00:00:00"/>
    <s v="Tuesday"/>
    <x v="0"/>
    <x v="1"/>
    <n v="38"/>
    <n v="775.00011999999992"/>
    <n v="20.394739999999999"/>
  </r>
  <r>
    <d v="2021-10-05T00:00:00"/>
    <s v="Tuesday"/>
    <x v="0"/>
    <x v="2"/>
    <n v="10"/>
    <n v="360.00027800000004"/>
    <m/>
  </r>
  <r>
    <d v="2021-10-05T00:00:00"/>
    <s v="Tuesday"/>
    <x v="0"/>
    <x v="3"/>
    <n v="49"/>
    <n v="297"/>
    <n v="6.0612244897959187"/>
  </r>
  <r>
    <d v="2021-10-05T00:00:00"/>
    <s v="Tuesday"/>
    <x v="0"/>
    <x v="4"/>
    <n v="66"/>
    <n v="1730.000055"/>
    <m/>
  </r>
  <r>
    <d v="2021-10-05T00:00:00"/>
    <s v="Tuesday"/>
    <x v="0"/>
    <x v="5"/>
    <n v="8"/>
    <n v="210.00011600000005"/>
    <m/>
  </r>
  <r>
    <d v="2021-10-05T00:00:00"/>
    <s v="Tuesday"/>
    <x v="0"/>
    <x v="6"/>
    <n v="11"/>
    <n v="806.000045"/>
    <m/>
  </r>
  <r>
    <d v="2021-10-05T00:00:00"/>
    <s v="Tuesday"/>
    <x v="0"/>
    <x v="7"/>
    <n v="2"/>
    <n v="47.999952000000008"/>
    <m/>
  </r>
  <r>
    <d v="2021-10-06T00:00:00"/>
    <s v="Wednesday"/>
    <x v="0"/>
    <x v="8"/>
    <n v="2"/>
    <n v="150"/>
    <m/>
  </r>
  <r>
    <d v="2021-10-06T00:00:00"/>
    <s v="Wednesday"/>
    <x v="0"/>
    <x v="12"/>
    <n v="3"/>
    <n v="30"/>
    <m/>
  </r>
  <r>
    <d v="2021-10-06T00:00:00"/>
    <s v="Wednesday"/>
    <x v="0"/>
    <x v="1"/>
    <n v="9"/>
    <n v="250"/>
    <n v="27.777777777777779"/>
  </r>
  <r>
    <d v="2021-10-06T00:00:00"/>
    <s v="Wednesday"/>
    <x v="0"/>
    <x v="2"/>
    <n v="2"/>
    <n v="50"/>
    <m/>
  </r>
  <r>
    <d v="2021-10-06T00:00:00"/>
    <s v="Wednesday"/>
    <x v="0"/>
    <x v="3"/>
    <n v="36"/>
    <n v="198"/>
    <n v="5.5"/>
  </r>
  <r>
    <d v="2021-10-06T00:00:00"/>
    <s v="Wednesday"/>
    <x v="0"/>
    <x v="4"/>
    <n v="25"/>
    <n v="650"/>
    <n v="26"/>
  </r>
  <r>
    <d v="2021-10-06T00:00:00"/>
    <s v="Wednesday"/>
    <x v="0"/>
    <x v="5"/>
    <n v="28"/>
    <n v="728"/>
    <m/>
  </r>
  <r>
    <d v="2021-10-06T00:00:00"/>
    <s v="Wednesday"/>
    <x v="0"/>
    <x v="6"/>
    <n v="12"/>
    <n v="500"/>
    <m/>
  </r>
  <r>
    <d v="2021-10-06T00:00:00"/>
    <s v="Wednesday"/>
    <x v="0"/>
    <x v="7"/>
    <n v="2"/>
    <n v="130"/>
    <m/>
  </r>
  <r>
    <d v="2021-10-07T00:00:00"/>
    <s v="Thursday"/>
    <x v="0"/>
    <x v="0"/>
    <n v="2"/>
    <n v="105"/>
    <m/>
  </r>
  <r>
    <d v="2021-10-07T00:00:00"/>
    <s v="Thursday"/>
    <x v="0"/>
    <x v="8"/>
    <n v="2"/>
    <n v="150"/>
    <m/>
  </r>
  <r>
    <d v="2021-10-15T00:00:00"/>
    <s v="Friday"/>
    <x v="1"/>
    <x v="1"/>
    <n v="15"/>
    <n v="505"/>
    <n v="33.666666666666664"/>
  </r>
  <r>
    <d v="2021-10-07T00:00:00"/>
    <s v="Thursday"/>
    <x v="0"/>
    <x v="2"/>
    <n v="16"/>
    <n v="320"/>
    <m/>
  </r>
  <r>
    <d v="2021-10-07T00:00:00"/>
    <s v="Thursday"/>
    <x v="0"/>
    <x v="3"/>
    <n v="76"/>
    <n v="418"/>
    <n v="5.5"/>
  </r>
  <r>
    <d v="2021-10-07T00:00:00"/>
    <s v="Thursday"/>
    <x v="0"/>
    <x v="4"/>
    <n v="15"/>
    <n v="390"/>
    <n v="26"/>
  </r>
  <r>
    <d v="2021-10-07T00:00:00"/>
    <s v="Thursday"/>
    <x v="0"/>
    <x v="5"/>
    <n v="20"/>
    <n v="624"/>
    <m/>
  </r>
  <r>
    <d v="2021-10-07T00:00:00"/>
    <s v="Thursday"/>
    <x v="0"/>
    <x v="6"/>
    <n v="11"/>
    <n v="858"/>
    <m/>
  </r>
  <r>
    <d v="2021-10-07T00:00:00"/>
    <s v="Thursday"/>
    <x v="0"/>
    <x v="7"/>
    <n v="3"/>
    <n v="115"/>
    <m/>
  </r>
  <r>
    <d v="2021-10-08T00:00:00"/>
    <s v="Friday"/>
    <x v="2"/>
    <x v="0"/>
    <n v="8"/>
    <n v="553"/>
    <m/>
  </r>
  <r>
    <d v="2021-10-08T00:00:00"/>
    <s v="Friday"/>
    <x v="2"/>
    <x v="10"/>
    <n v="3"/>
    <n v="45"/>
    <m/>
  </r>
  <r>
    <d v="2021-10-08T00:00:00"/>
    <s v="Friday"/>
    <x v="2"/>
    <x v="8"/>
    <n v="2"/>
    <n v="150"/>
    <m/>
  </r>
  <r>
    <d v="2021-10-08T00:00:00"/>
    <s v="Friday"/>
    <x v="2"/>
    <x v="12"/>
    <n v="4"/>
    <n v="40"/>
    <m/>
  </r>
  <r>
    <d v="2021-10-07T00:00:00"/>
    <s v="Thursday"/>
    <x v="0"/>
    <x v="1"/>
    <n v="4"/>
    <n v="100"/>
    <n v="25"/>
  </r>
  <r>
    <d v="2021-10-08T00:00:00"/>
    <s v="Friday"/>
    <x v="2"/>
    <x v="2"/>
    <n v="29"/>
    <n v="440"/>
    <m/>
  </r>
  <r>
    <d v="2021-10-08T00:00:00"/>
    <s v="Friday"/>
    <x v="2"/>
    <x v="4"/>
    <n v="15"/>
    <n v="390"/>
    <n v="26"/>
  </r>
  <r>
    <d v="2021-10-08T00:00:00"/>
    <s v="Friday"/>
    <x v="2"/>
    <x v="6"/>
    <n v="23"/>
    <n v="1655"/>
    <m/>
  </r>
  <r>
    <d v="2021-10-08T00:00:00"/>
    <s v="Friday"/>
    <x v="2"/>
    <x v="7"/>
    <n v="9"/>
    <n v="456"/>
    <m/>
  </r>
  <r>
    <d v="2021-10-09T00:00:00"/>
    <s v="Saturday"/>
    <x v="2"/>
    <x v="0"/>
    <n v="3"/>
    <n v="167"/>
    <m/>
  </r>
  <r>
    <d v="2021-10-09T00:00:00"/>
    <s v="Saturday"/>
    <x v="2"/>
    <x v="8"/>
    <n v="2"/>
    <n v="150"/>
    <m/>
  </r>
  <r>
    <d v="2021-10-08T00:00:00"/>
    <s v="Friday"/>
    <x v="2"/>
    <x v="1"/>
    <n v="9"/>
    <n v="260"/>
    <n v="28.888888888888889"/>
  </r>
  <r>
    <d v="2021-10-09T00:00:00"/>
    <s v="Saturday"/>
    <x v="2"/>
    <x v="2"/>
    <n v="2"/>
    <n v="70"/>
    <m/>
  </r>
  <r>
    <d v="2021-10-09T00:00:00"/>
    <s v="Saturday"/>
    <x v="2"/>
    <x v="5"/>
    <n v="13"/>
    <n v="150"/>
    <m/>
  </r>
  <r>
    <d v="2021-10-09T00:00:00"/>
    <s v="Saturday"/>
    <x v="2"/>
    <x v="6"/>
    <n v="8"/>
    <n v="565"/>
    <m/>
  </r>
  <r>
    <d v="2021-10-09T00:00:00"/>
    <s v="Saturday"/>
    <x v="2"/>
    <x v="7"/>
    <n v="11"/>
    <n v="326"/>
    <m/>
  </r>
  <r>
    <d v="2021-10-10T00:00:00"/>
    <s v="Sunday"/>
    <x v="2"/>
    <x v="0"/>
    <n v="1"/>
    <n v="48"/>
    <m/>
  </r>
  <r>
    <d v="2021-10-10T00:00:00"/>
    <s v="Sunday"/>
    <x v="2"/>
    <x v="10"/>
    <n v="3"/>
    <n v="45"/>
    <m/>
  </r>
  <r>
    <d v="2021-10-10T00:00:00"/>
    <s v="Sunday"/>
    <x v="2"/>
    <x v="8"/>
    <n v="1"/>
    <n v="75"/>
    <m/>
  </r>
  <r>
    <d v="2021-10-09T00:00:00"/>
    <s v="Saturday"/>
    <x v="2"/>
    <x v="1"/>
    <n v="10"/>
    <n v="244"/>
    <n v="24.4"/>
  </r>
  <r>
    <d v="2021-10-10T00:00:00"/>
    <s v="Sunday"/>
    <x v="2"/>
    <x v="3"/>
    <n v="84"/>
    <n v="504"/>
    <n v="6"/>
  </r>
  <r>
    <d v="2021-10-10T00:00:00"/>
    <s v="Sunday"/>
    <x v="2"/>
    <x v="5"/>
    <n v="2"/>
    <n v="250"/>
    <m/>
  </r>
  <r>
    <d v="2021-10-10T00:00:00"/>
    <s v="Sunday"/>
    <x v="2"/>
    <x v="6"/>
    <n v="5"/>
    <n v="369"/>
    <m/>
  </r>
  <r>
    <d v="2021-10-11T00:00:00"/>
    <s v="Monday"/>
    <x v="2"/>
    <x v="0"/>
    <n v="5"/>
    <n v="399"/>
    <m/>
  </r>
  <r>
    <d v="2021-10-11T00:00:00"/>
    <s v="Monday"/>
    <x v="2"/>
    <x v="9"/>
    <n v="12"/>
    <n v="230.4"/>
    <m/>
  </r>
  <r>
    <d v="2021-10-10T00:00:00"/>
    <s v="Sunday"/>
    <x v="2"/>
    <x v="1"/>
    <n v="6"/>
    <n v="60"/>
    <n v="10"/>
  </r>
  <r>
    <d v="2021-10-11T00:00:00"/>
    <s v="Monday"/>
    <x v="2"/>
    <x v="2"/>
    <n v="16"/>
    <n v="225"/>
    <m/>
  </r>
  <r>
    <d v="2021-10-11T00:00:00"/>
    <s v="Monday"/>
    <x v="2"/>
    <x v="3"/>
    <n v="38"/>
    <n v="372"/>
    <n v="9.7894736842105257"/>
  </r>
  <r>
    <d v="2021-10-11T00:00:00"/>
    <s v="Monday"/>
    <x v="2"/>
    <x v="4"/>
    <n v="6"/>
    <n v="156"/>
    <n v="26"/>
  </r>
  <r>
    <d v="2021-10-11T00:00:00"/>
    <s v="Monday"/>
    <x v="2"/>
    <x v="5"/>
    <n v="15"/>
    <n v="250"/>
    <m/>
  </r>
  <r>
    <d v="2021-10-11T00:00:00"/>
    <s v="Monday"/>
    <x v="2"/>
    <x v="6"/>
    <n v="9"/>
    <n v="783"/>
    <m/>
  </r>
  <r>
    <d v="2021-10-11T00:00:00"/>
    <s v="Monday"/>
    <x v="2"/>
    <x v="7"/>
    <n v="13"/>
    <n v="560"/>
    <m/>
  </r>
  <r>
    <d v="2021-10-12T00:00:00"/>
    <s v="Tuesday"/>
    <x v="2"/>
    <x v="0"/>
    <n v="7"/>
    <n v="138"/>
    <m/>
  </r>
  <r>
    <d v="2021-10-12T00:00:00"/>
    <s v="Tuesday"/>
    <x v="2"/>
    <x v="10"/>
    <n v="6"/>
    <n v="90"/>
    <m/>
  </r>
  <r>
    <d v="2021-10-12T00:00:00"/>
    <s v="Tuesday"/>
    <x v="2"/>
    <x v="8"/>
    <n v="4"/>
    <n v="300"/>
    <m/>
  </r>
  <r>
    <d v="2021-10-22T00:00:00"/>
    <s v="Friday"/>
    <x v="3"/>
    <x v="1"/>
    <n v="11"/>
    <n v="425"/>
    <n v="38.636363636363633"/>
  </r>
  <r>
    <d v="2021-10-12T00:00:00"/>
    <s v="Tuesday"/>
    <x v="2"/>
    <x v="2"/>
    <n v="2"/>
    <n v="20"/>
    <m/>
  </r>
  <r>
    <d v="2021-10-12T00:00:00"/>
    <s v="Tuesday"/>
    <x v="2"/>
    <x v="3"/>
    <n v="86"/>
    <n v="516"/>
    <n v="6"/>
  </r>
  <r>
    <d v="2021-10-12T00:00:00"/>
    <s v="Tuesday"/>
    <x v="2"/>
    <x v="4"/>
    <n v="2"/>
    <n v="52"/>
    <n v="26"/>
  </r>
  <r>
    <d v="2021-10-12T00:00:00"/>
    <s v="Tuesday"/>
    <x v="2"/>
    <x v="5"/>
    <n v="12"/>
    <n v="300"/>
    <m/>
  </r>
  <r>
    <d v="2021-10-12T00:00:00"/>
    <s v="Tuesday"/>
    <x v="2"/>
    <x v="6"/>
    <n v="9"/>
    <n v="419"/>
    <m/>
  </r>
  <r>
    <d v="2021-10-12T00:00:00"/>
    <s v="Tuesday"/>
    <x v="2"/>
    <x v="7"/>
    <n v="5"/>
    <n v="50"/>
    <m/>
  </r>
  <r>
    <d v="2021-10-13T00:00:00"/>
    <s v="Wednesday"/>
    <x v="2"/>
    <x v="0"/>
    <n v="13"/>
    <n v="298"/>
    <m/>
  </r>
  <r>
    <d v="2021-10-13T00:00:00"/>
    <s v="Wednesday"/>
    <x v="2"/>
    <x v="10"/>
    <n v="2"/>
    <n v="30"/>
    <m/>
  </r>
  <r>
    <d v="2021-10-13T00:00:00"/>
    <s v="Wednesday"/>
    <x v="2"/>
    <x v="8"/>
    <n v="2"/>
    <n v="150"/>
    <m/>
  </r>
  <r>
    <d v="2021-10-13T00:00:00"/>
    <s v="Wednesday"/>
    <x v="2"/>
    <x v="12"/>
    <n v="2"/>
    <n v="20"/>
    <m/>
  </r>
  <r>
    <d v="2021-10-12T00:00:00"/>
    <s v="Tuesday"/>
    <x v="2"/>
    <x v="1"/>
    <n v="2"/>
    <n v="40"/>
    <n v="20"/>
  </r>
  <r>
    <d v="2021-10-13T00:00:00"/>
    <s v="Wednesday"/>
    <x v="2"/>
    <x v="2"/>
    <n v="14"/>
    <n v="350"/>
    <m/>
  </r>
  <r>
    <d v="2021-10-13T00:00:00"/>
    <s v="Wednesday"/>
    <x v="2"/>
    <x v="3"/>
    <n v="26"/>
    <n v="156"/>
    <n v="6"/>
  </r>
  <r>
    <d v="2021-10-13T00:00:00"/>
    <s v="Wednesday"/>
    <x v="2"/>
    <x v="4"/>
    <n v="3"/>
    <n v="78"/>
    <n v="26"/>
  </r>
  <r>
    <d v="2021-10-13T00:00:00"/>
    <s v="Wednesday"/>
    <x v="2"/>
    <x v="5"/>
    <n v="10"/>
    <n v="229"/>
    <m/>
  </r>
  <r>
    <d v="2021-10-13T00:00:00"/>
    <s v="Wednesday"/>
    <x v="2"/>
    <x v="6"/>
    <n v="6"/>
    <n v="300"/>
    <m/>
  </r>
  <r>
    <d v="2021-10-14T00:00:00"/>
    <s v="Thursday"/>
    <x v="2"/>
    <x v="0"/>
    <n v="3"/>
    <n v="145"/>
    <m/>
  </r>
  <r>
    <d v="2021-10-14T00:00:00"/>
    <s v="Thursday"/>
    <x v="2"/>
    <x v="10"/>
    <n v="5"/>
    <n v="75"/>
    <m/>
  </r>
  <r>
    <d v="2021-10-14T00:00:00"/>
    <s v="Thursday"/>
    <x v="2"/>
    <x v="12"/>
    <n v="4"/>
    <n v="40"/>
    <m/>
  </r>
  <r>
    <d v="2021-10-13T00:00:00"/>
    <s v="Wednesday"/>
    <x v="2"/>
    <x v="1"/>
    <n v="13"/>
    <n v="380"/>
    <n v="29.23076923076923"/>
  </r>
  <r>
    <d v="2021-10-14T00:00:00"/>
    <s v="Thursday"/>
    <x v="2"/>
    <x v="2"/>
    <n v="7"/>
    <n v="110"/>
    <m/>
  </r>
  <r>
    <d v="2021-10-14T00:00:00"/>
    <s v="Thursday"/>
    <x v="2"/>
    <x v="3"/>
    <n v="34"/>
    <n v="204"/>
    <n v="6"/>
  </r>
  <r>
    <d v="2021-10-14T00:00:00"/>
    <s v="Thursday"/>
    <x v="2"/>
    <x v="5"/>
    <n v="2"/>
    <n v="25"/>
    <m/>
  </r>
  <r>
    <d v="2021-10-14T00:00:00"/>
    <s v="Thursday"/>
    <x v="2"/>
    <x v="6"/>
    <n v="3"/>
    <n v="447"/>
    <m/>
  </r>
  <r>
    <d v="2021-10-14T00:00:00"/>
    <s v="Thursday"/>
    <x v="2"/>
    <x v="7"/>
    <n v="2"/>
    <n v="158"/>
    <m/>
  </r>
  <r>
    <d v="2021-10-15T00:00:00"/>
    <s v="Friday"/>
    <x v="1"/>
    <x v="0"/>
    <n v="4"/>
    <n v="382"/>
    <m/>
  </r>
  <r>
    <d v="2021-10-15T00:00:00"/>
    <s v="Friday"/>
    <x v="1"/>
    <x v="8"/>
    <n v="4"/>
    <n v="300"/>
    <m/>
  </r>
  <r>
    <d v="2021-10-14T00:00:00"/>
    <s v="Thursday"/>
    <x v="2"/>
    <x v="1"/>
    <n v="13"/>
    <n v="150"/>
    <n v="11.538461538461538"/>
  </r>
  <r>
    <d v="2021-10-15T00:00:00"/>
    <s v="Friday"/>
    <x v="1"/>
    <x v="2"/>
    <n v="11"/>
    <n v="150"/>
    <m/>
  </r>
  <r>
    <d v="2021-10-15T00:00:00"/>
    <s v="Friday"/>
    <x v="1"/>
    <x v="3"/>
    <n v="134"/>
    <n v="804"/>
    <n v="6"/>
  </r>
  <r>
    <d v="2021-10-15T00:00:00"/>
    <s v="Friday"/>
    <x v="1"/>
    <x v="5"/>
    <n v="9"/>
    <n v="230"/>
    <m/>
  </r>
  <r>
    <d v="2021-10-15T00:00:00"/>
    <s v="Friday"/>
    <x v="1"/>
    <x v="6"/>
    <n v="2"/>
    <n v="200"/>
    <m/>
  </r>
  <r>
    <d v="2021-10-15T00:00:00"/>
    <s v="Friday"/>
    <x v="1"/>
    <x v="7"/>
    <n v="20"/>
    <n v="821"/>
    <m/>
  </r>
  <r>
    <d v="2021-10-16T00:00:00"/>
    <s v="Saturday"/>
    <x v="1"/>
    <x v="0"/>
    <n v="8"/>
    <n v="186"/>
    <m/>
  </r>
  <r>
    <d v="2021-10-16T00:00:00"/>
    <s v="Saturday"/>
    <x v="1"/>
    <x v="8"/>
    <n v="1"/>
    <n v="75"/>
    <m/>
  </r>
  <r>
    <d v="2021-10-16T00:00:00"/>
    <s v="Saturday"/>
    <x v="1"/>
    <x v="1"/>
    <n v="24"/>
    <n v="280"/>
    <n v="11.666666666666666"/>
  </r>
  <r>
    <d v="2021-10-16T00:00:00"/>
    <s v="Saturday"/>
    <x v="1"/>
    <x v="2"/>
    <n v="5"/>
    <n v="70"/>
    <m/>
  </r>
  <r>
    <d v="2021-10-16T00:00:00"/>
    <s v="Saturday"/>
    <x v="1"/>
    <x v="3"/>
    <n v="30"/>
    <n v="180"/>
    <n v="6"/>
  </r>
  <r>
    <d v="2021-10-16T00:00:00"/>
    <s v="Saturday"/>
    <x v="1"/>
    <x v="4"/>
    <n v="12"/>
    <n v="312"/>
    <n v="26"/>
  </r>
  <r>
    <d v="2021-10-16T00:00:00"/>
    <s v="Saturday"/>
    <x v="1"/>
    <x v="7"/>
    <n v="8"/>
    <n v="205"/>
    <m/>
  </r>
  <r>
    <d v="2021-10-17T00:00:00"/>
    <s v="Sunday"/>
    <x v="1"/>
    <x v="2"/>
    <n v="13"/>
    <n v="487"/>
    <m/>
  </r>
  <r>
    <d v="2021-10-17T00:00:00"/>
    <s v="Sunday"/>
    <x v="1"/>
    <x v="3"/>
    <n v="76"/>
    <n v="456"/>
    <n v="6"/>
  </r>
  <r>
    <d v="2021-10-17T00:00:00"/>
    <s v="Sunday"/>
    <x v="1"/>
    <x v="4"/>
    <n v="5"/>
    <n v="130"/>
    <n v="26"/>
  </r>
  <r>
    <d v="2021-10-17T00:00:00"/>
    <s v="Sunday"/>
    <x v="1"/>
    <x v="5"/>
    <n v="1"/>
    <n v="30"/>
    <m/>
  </r>
  <r>
    <d v="2021-10-17T00:00:00"/>
    <s v="Sunday"/>
    <x v="1"/>
    <x v="6"/>
    <n v="2"/>
    <n v="198"/>
    <m/>
  </r>
  <r>
    <d v="2021-10-17T00:00:00"/>
    <s v="Sunday"/>
    <x v="1"/>
    <x v="7"/>
    <n v="2"/>
    <n v="170"/>
    <m/>
  </r>
  <r>
    <d v="2021-10-18T00:00:00"/>
    <s v="Monday"/>
    <x v="1"/>
    <x v="0"/>
    <n v="1"/>
    <n v="48"/>
    <m/>
  </r>
  <r>
    <d v="2021-10-18T00:00:00"/>
    <s v="Monday"/>
    <x v="1"/>
    <x v="8"/>
    <n v="2"/>
    <n v="150"/>
    <m/>
  </r>
  <r>
    <d v="2021-10-18T00:00:00"/>
    <s v="Monday"/>
    <x v="1"/>
    <x v="12"/>
    <n v="24"/>
    <n v="228"/>
    <m/>
  </r>
  <r>
    <d v="2021-10-18T00:00:00"/>
    <s v="Monday"/>
    <x v="1"/>
    <x v="1"/>
    <n v="2"/>
    <n v="20"/>
    <n v="10"/>
  </r>
  <r>
    <d v="2021-10-18T00:00:00"/>
    <s v="Monday"/>
    <x v="1"/>
    <x v="2"/>
    <n v="12"/>
    <n v="200"/>
    <m/>
  </r>
  <r>
    <d v="2021-10-18T00:00:00"/>
    <s v="Monday"/>
    <x v="1"/>
    <x v="3"/>
    <n v="6"/>
    <n v="36"/>
    <n v="6"/>
  </r>
  <r>
    <d v="2021-10-18T00:00:00"/>
    <s v="Monday"/>
    <x v="1"/>
    <x v="4"/>
    <n v="3"/>
    <n v="78"/>
    <n v="26"/>
  </r>
  <r>
    <d v="2021-10-18T00:00:00"/>
    <s v="Monday"/>
    <x v="1"/>
    <x v="7"/>
    <n v="2"/>
    <n v="170"/>
    <m/>
  </r>
  <r>
    <d v="2021-10-19T00:00:00"/>
    <s v="Tuesday"/>
    <x v="1"/>
    <x v="10"/>
    <n v="3"/>
    <n v="45"/>
    <m/>
  </r>
  <r>
    <d v="2021-10-19T00:00:00"/>
    <s v="Tuesday"/>
    <x v="1"/>
    <x v="8"/>
    <n v="1"/>
    <n v="75"/>
    <m/>
  </r>
  <r>
    <d v="2021-10-19T00:00:00"/>
    <s v="Tuesday"/>
    <x v="1"/>
    <x v="1"/>
    <n v="12"/>
    <n v="155"/>
    <n v="12.916666666666666"/>
  </r>
  <r>
    <d v="2021-10-19T00:00:00"/>
    <s v="Tuesday"/>
    <x v="1"/>
    <x v="2"/>
    <n v="5"/>
    <n v="70"/>
    <m/>
  </r>
  <r>
    <d v="2021-10-19T00:00:00"/>
    <s v="Tuesday"/>
    <x v="1"/>
    <x v="3"/>
    <n v="42"/>
    <n v="252"/>
    <n v="6"/>
  </r>
  <r>
    <d v="2021-10-19T00:00:00"/>
    <s v="Tuesday"/>
    <x v="1"/>
    <x v="7"/>
    <n v="9"/>
    <n v="341"/>
    <m/>
  </r>
  <r>
    <d v="2021-10-20T00:00:00"/>
    <s v="Wednesday"/>
    <x v="1"/>
    <x v="0"/>
    <n v="3"/>
    <n v="159"/>
    <m/>
  </r>
  <r>
    <d v="2021-10-20T00:00:00"/>
    <s v="Wednesday"/>
    <x v="1"/>
    <x v="10"/>
    <n v="8"/>
    <n v="120"/>
    <m/>
  </r>
  <r>
    <d v="2021-10-20T00:00:00"/>
    <s v="Wednesday"/>
    <x v="1"/>
    <x v="8"/>
    <n v="3"/>
    <n v="225"/>
    <m/>
  </r>
  <r>
    <d v="2021-10-01T00:00:00"/>
    <s v="Friday"/>
    <x v="0"/>
    <x v="1"/>
    <n v="6"/>
    <n v="275.00006199999996"/>
    <n v="45.833343666666657"/>
  </r>
  <r>
    <d v="2021-10-20T00:00:00"/>
    <s v="Wednesday"/>
    <x v="1"/>
    <x v="2"/>
    <n v="8"/>
    <n v="130"/>
    <m/>
  </r>
  <r>
    <d v="2021-10-20T00:00:00"/>
    <s v="Wednesday"/>
    <x v="1"/>
    <x v="3"/>
    <n v="18"/>
    <n v="108"/>
    <n v="6"/>
  </r>
  <r>
    <d v="2021-10-20T00:00:00"/>
    <s v="Wednesday"/>
    <x v="1"/>
    <x v="5"/>
    <n v="10"/>
    <n v="290"/>
    <m/>
  </r>
  <r>
    <d v="2021-10-20T00:00:00"/>
    <s v="Wednesday"/>
    <x v="1"/>
    <x v="6"/>
    <n v="1"/>
    <n v="85"/>
    <m/>
  </r>
  <r>
    <d v="2021-10-21T00:00:00"/>
    <s v="Thursday"/>
    <x v="1"/>
    <x v="0"/>
    <n v="5"/>
    <n v="108"/>
    <m/>
  </r>
  <r>
    <d v="2021-10-21T00:00:00"/>
    <s v="Thursday"/>
    <x v="1"/>
    <x v="8"/>
    <n v="5"/>
    <n v="375"/>
    <m/>
  </r>
  <r>
    <d v="2021-10-20T00:00:00"/>
    <s v="Wednesday"/>
    <x v="1"/>
    <x v="1"/>
    <n v="4"/>
    <n v="120"/>
    <n v="30"/>
  </r>
  <r>
    <d v="2021-10-21T00:00:00"/>
    <s v="Thursday"/>
    <x v="1"/>
    <x v="2"/>
    <n v="11"/>
    <n v="120"/>
    <m/>
  </r>
  <r>
    <d v="2021-10-21T00:00:00"/>
    <s v="Thursday"/>
    <x v="1"/>
    <x v="5"/>
    <n v="12"/>
    <n v="260"/>
    <m/>
  </r>
  <r>
    <d v="2021-10-21T00:00:00"/>
    <s v="Thursday"/>
    <x v="1"/>
    <x v="6"/>
    <n v="1"/>
    <n v="85"/>
    <m/>
  </r>
  <r>
    <d v="2021-10-21T00:00:00"/>
    <s v="Thursday"/>
    <x v="1"/>
    <x v="7"/>
    <n v="3"/>
    <n v="201"/>
    <m/>
  </r>
  <r>
    <d v="2021-10-22T00:00:00"/>
    <s v="Friday"/>
    <x v="3"/>
    <x v="0"/>
    <n v="1"/>
    <n v="48"/>
    <m/>
  </r>
  <r>
    <d v="2021-10-22T00:00:00"/>
    <s v="Friday"/>
    <x v="3"/>
    <x v="10"/>
    <n v="7"/>
    <n v="105"/>
    <m/>
  </r>
  <r>
    <d v="2021-10-11T00:00:00"/>
    <s v="Monday"/>
    <x v="2"/>
    <x v="1"/>
    <n v="5"/>
    <n v="710"/>
    <n v="142"/>
  </r>
  <r>
    <d v="2021-10-22T00:00:00"/>
    <s v="Friday"/>
    <x v="3"/>
    <x v="2"/>
    <n v="19"/>
    <n v="370"/>
    <m/>
  </r>
  <r>
    <d v="2021-10-22T00:00:00"/>
    <s v="Friday"/>
    <x v="3"/>
    <x v="5"/>
    <n v="3"/>
    <n v="90"/>
    <m/>
  </r>
  <r>
    <d v="2021-10-22T00:00:00"/>
    <s v="Friday"/>
    <x v="3"/>
    <x v="6"/>
    <n v="14"/>
    <n v="1032"/>
    <m/>
  </r>
  <r>
    <d v="2021-10-22T00:00:00"/>
    <s v="Friday"/>
    <x v="3"/>
    <x v="7"/>
    <n v="2"/>
    <n v="150"/>
    <m/>
  </r>
  <r>
    <d v="2021-10-23T00:00:00"/>
    <s v="Saturday"/>
    <x v="3"/>
    <x v="0"/>
    <n v="4"/>
    <n v="84"/>
    <m/>
  </r>
  <r>
    <d v="2021-10-23T00:00:00"/>
    <s v="Saturday"/>
    <x v="3"/>
    <x v="10"/>
    <n v="2"/>
    <n v="30"/>
    <m/>
  </r>
  <r>
    <d v="2021-10-23T00:00:00"/>
    <s v="Saturday"/>
    <x v="3"/>
    <x v="8"/>
    <n v="3"/>
    <n v="225"/>
    <m/>
  </r>
  <r>
    <d v="2021-10-23T00:00:00"/>
    <s v="Saturday"/>
    <x v="3"/>
    <x v="1"/>
    <n v="9"/>
    <n v="115"/>
    <n v="12.777777777777779"/>
  </r>
  <r>
    <d v="2021-10-23T00:00:00"/>
    <s v="Saturday"/>
    <x v="3"/>
    <x v="2"/>
    <n v="21"/>
    <n v="240"/>
    <m/>
  </r>
  <r>
    <d v="2021-10-23T00:00:00"/>
    <s v="Saturday"/>
    <x v="3"/>
    <x v="3"/>
    <n v="120"/>
    <n v="810"/>
    <n v="6.75"/>
  </r>
  <r>
    <d v="2021-10-23T00:00:00"/>
    <s v="Saturday"/>
    <x v="3"/>
    <x v="5"/>
    <n v="24"/>
    <n v="465"/>
    <m/>
  </r>
  <r>
    <d v="2021-10-23T00:00:00"/>
    <s v="Saturday"/>
    <x v="3"/>
    <x v="6"/>
    <n v="7"/>
    <n v="400"/>
    <m/>
  </r>
  <r>
    <d v="2021-10-23T00:00:00"/>
    <s v="Saturday"/>
    <x v="3"/>
    <x v="7"/>
    <n v="4"/>
    <n v="100"/>
    <m/>
  </r>
  <r>
    <d v="2021-10-24T00:00:00"/>
    <s v="Sunday"/>
    <x v="3"/>
    <x v="13"/>
    <s v="-"/>
    <s v="-"/>
    <m/>
  </r>
  <r>
    <d v="2021-10-25T00:00:00"/>
    <s v="Monday"/>
    <x v="3"/>
    <x v="13"/>
    <s v="-"/>
    <s v="-"/>
    <m/>
  </r>
  <r>
    <d v="2021-10-26T00:00:00"/>
    <s v="Tuesday"/>
    <x v="3"/>
    <x v="0"/>
    <n v="14"/>
    <n v="370"/>
    <m/>
  </r>
  <r>
    <d v="2021-10-26T00:00:00"/>
    <s v="Tuesday"/>
    <x v="3"/>
    <x v="9"/>
    <n v="6"/>
    <n v="120"/>
    <m/>
  </r>
  <r>
    <d v="2021-10-26T00:00:00"/>
    <s v="Tuesday"/>
    <x v="3"/>
    <x v="8"/>
    <n v="5"/>
    <n v="375"/>
    <m/>
  </r>
  <r>
    <d v="2021-10-26T00:00:00"/>
    <s v="Tuesday"/>
    <x v="3"/>
    <x v="1"/>
    <n v="13"/>
    <n v="160"/>
    <n v="12.307692307692308"/>
  </r>
  <r>
    <d v="2021-10-26T00:00:00"/>
    <s v="Tuesday"/>
    <x v="3"/>
    <x v="2"/>
    <n v="8"/>
    <n v="80"/>
    <m/>
  </r>
  <r>
    <d v="2021-10-26T00:00:00"/>
    <s v="Tuesday"/>
    <x v="3"/>
    <x v="3"/>
    <n v="66"/>
    <n v="429.6"/>
    <n v="6.5090909090909097"/>
  </r>
  <r>
    <d v="2021-10-26T00:00:00"/>
    <s v="Tuesday"/>
    <x v="3"/>
    <x v="6"/>
    <n v="7"/>
    <n v="637"/>
    <m/>
  </r>
  <r>
    <d v="2021-10-26T00:00:00"/>
    <s v="Tuesday"/>
    <x v="3"/>
    <x v="7"/>
    <n v="12"/>
    <n v="361"/>
    <m/>
  </r>
  <r>
    <d v="2021-10-27T00:00:00"/>
    <s v="Wednesday"/>
    <x v="3"/>
    <x v="0"/>
    <n v="10"/>
    <n v="373"/>
    <m/>
  </r>
  <r>
    <d v="2021-10-27T00:00:00"/>
    <s v="Wednesday"/>
    <x v="3"/>
    <x v="10"/>
    <n v="5"/>
    <n v="75"/>
    <m/>
  </r>
  <r>
    <d v="2021-10-28T00:00:00"/>
    <s v="Thursday"/>
    <x v="3"/>
    <x v="1"/>
    <n v="18"/>
    <n v="250"/>
    <n v="13.888888888888889"/>
  </r>
  <r>
    <d v="2021-10-27T00:00:00"/>
    <s v="Wednesday"/>
    <x v="3"/>
    <x v="2"/>
    <n v="9"/>
    <n v="130"/>
    <m/>
  </r>
  <r>
    <d v="2021-10-27T00:00:00"/>
    <s v="Wednesday"/>
    <x v="3"/>
    <x v="3"/>
    <n v="94"/>
    <n v="611"/>
    <n v="6.5"/>
  </r>
  <r>
    <d v="2021-10-27T00:00:00"/>
    <s v="Wednesday"/>
    <x v="3"/>
    <x v="4"/>
    <n v="20"/>
    <n v="520"/>
    <n v="26"/>
  </r>
  <r>
    <d v="2021-10-27T00:00:00"/>
    <s v="Wednesday"/>
    <x v="3"/>
    <x v="5"/>
    <n v="8"/>
    <n v="220"/>
    <m/>
  </r>
  <r>
    <d v="2021-10-27T00:00:00"/>
    <s v="Wednesday"/>
    <x v="3"/>
    <x v="6"/>
    <n v="8"/>
    <n v="557"/>
    <m/>
  </r>
  <r>
    <d v="2021-10-28T00:00:00"/>
    <s v="Thursday"/>
    <x v="3"/>
    <x v="10"/>
    <n v="1"/>
    <n v="15"/>
    <m/>
  </r>
  <r>
    <d v="2021-10-28T00:00:00"/>
    <s v="Thursday"/>
    <x v="3"/>
    <x v="8"/>
    <n v="2"/>
    <n v="150"/>
    <m/>
  </r>
  <r>
    <d v="2021-10-29T00:00:00"/>
    <s v="Friday"/>
    <x v="3"/>
    <x v="1"/>
    <n v="10"/>
    <n v="140"/>
    <n v="14"/>
  </r>
  <r>
    <d v="2021-10-28T00:00:00"/>
    <s v="Thursday"/>
    <x v="3"/>
    <x v="2"/>
    <n v="7"/>
    <n v="110"/>
    <m/>
  </r>
  <r>
    <d v="2021-10-28T00:00:00"/>
    <s v="Thursday"/>
    <x v="3"/>
    <x v="3"/>
    <n v="36"/>
    <n v="234"/>
    <n v="6.5"/>
  </r>
  <r>
    <d v="2021-10-28T00:00:00"/>
    <s v="Thursday"/>
    <x v="3"/>
    <x v="5"/>
    <n v="7"/>
    <n v="240"/>
    <m/>
  </r>
  <r>
    <d v="2021-10-28T00:00:00"/>
    <s v="Thursday"/>
    <x v="3"/>
    <x v="6"/>
    <n v="6"/>
    <n v="597"/>
    <m/>
  </r>
  <r>
    <d v="2021-10-28T00:00:00"/>
    <s v="Thursday"/>
    <x v="3"/>
    <x v="7"/>
    <n v="4"/>
    <n v="332"/>
    <m/>
  </r>
  <r>
    <d v="2021-10-29T00:00:00"/>
    <s v="Friday"/>
    <x v="3"/>
    <x v="0"/>
    <n v="5"/>
    <n v="237"/>
    <m/>
  </r>
  <r>
    <d v="2021-10-29T00:00:00"/>
    <s v="Friday"/>
    <x v="3"/>
    <x v="8"/>
    <n v="2"/>
    <n v="150"/>
    <m/>
  </r>
  <r>
    <d v="2021-10-27T00:00:00"/>
    <s v="Wednesday"/>
    <x v="3"/>
    <x v="1"/>
    <n v="2"/>
    <n v="180"/>
    <n v="90"/>
  </r>
  <r>
    <d v="2021-10-29T00:00:00"/>
    <s v="Friday"/>
    <x v="3"/>
    <x v="2"/>
    <n v="15"/>
    <n v="445"/>
    <m/>
  </r>
  <r>
    <d v="2021-10-29T00:00:00"/>
    <s v="Friday"/>
    <x v="3"/>
    <x v="3"/>
    <n v="16"/>
    <n v="104"/>
    <n v="6.5"/>
  </r>
  <r>
    <d v="2021-10-29T00:00:00"/>
    <s v="Friday"/>
    <x v="3"/>
    <x v="5"/>
    <n v="13"/>
    <n v="230"/>
    <m/>
  </r>
  <r>
    <d v="2021-10-29T00:00:00"/>
    <s v="Friday"/>
    <x v="3"/>
    <x v="6"/>
    <n v="13"/>
    <n v="1149"/>
    <m/>
  </r>
  <r>
    <d v="2021-10-29T00:00:00"/>
    <s v="Friday"/>
    <x v="3"/>
    <x v="7"/>
    <n v="3"/>
    <n v="115"/>
    <m/>
  </r>
  <r>
    <d v="2021-10-30T00:00:00"/>
    <s v="Saturday"/>
    <x v="3"/>
    <x v="0"/>
    <n v="11"/>
    <n v="234"/>
    <m/>
  </r>
  <r>
    <d v="2021-10-30T00:00:00"/>
    <s v="Saturday"/>
    <x v="3"/>
    <x v="10"/>
    <n v="6"/>
    <n v="90"/>
    <m/>
  </r>
  <r>
    <d v="2021-10-30T00:00:00"/>
    <s v="Saturday"/>
    <x v="3"/>
    <x v="9"/>
    <n v="1"/>
    <n v="230"/>
    <m/>
  </r>
  <r>
    <d v="2021-10-30T00:00:00"/>
    <s v="Saturday"/>
    <x v="3"/>
    <x v="8"/>
    <n v="1"/>
    <n v="75"/>
    <m/>
  </r>
  <r>
    <d v="2021-10-30T00:00:00"/>
    <s v="Saturday"/>
    <x v="3"/>
    <x v="1"/>
    <n v="16"/>
    <n v="220"/>
    <n v="13.75"/>
  </r>
  <r>
    <d v="2021-10-30T00:00:00"/>
    <s v="Saturday"/>
    <x v="3"/>
    <x v="2"/>
    <n v="7"/>
    <n v="80"/>
    <m/>
  </r>
  <r>
    <d v="2021-10-30T00:00:00"/>
    <s v="Saturday"/>
    <x v="3"/>
    <x v="5"/>
    <n v="34"/>
    <n v="580"/>
    <m/>
  </r>
  <r>
    <d v="2021-10-30T00:00:00"/>
    <s v="Saturday"/>
    <x v="3"/>
    <x v="6"/>
    <n v="4"/>
    <n v="225"/>
    <m/>
  </r>
  <r>
    <d v="2021-10-30T00:00:00"/>
    <s v="Saturday"/>
    <x v="3"/>
    <x v="7"/>
    <n v="3"/>
    <n v="135"/>
    <m/>
  </r>
  <r>
    <d v="2021-10-31T00:00:00"/>
    <s v="Sunday"/>
    <x v="3"/>
    <x v="13"/>
    <s v="-"/>
    <s v="-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EA320-046A-40FD-8F83-06F153FA3A2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tem" colHeaderCaption="Week">
  <location ref="A3:C21" firstHeaderRow="0" firstDataRow="1" firstDataCol="1"/>
  <pivotFields count="6">
    <pivotField numFmtId="14"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22">
        <item h="1" x="14"/>
        <item x="0"/>
        <item x="1"/>
        <item x="2"/>
        <item x="3"/>
        <item x="17"/>
        <item x="15"/>
        <item x="13"/>
        <item x="16"/>
        <item x="4"/>
        <item x="5"/>
        <item m="1" x="20"/>
        <item x="6"/>
        <item x="7"/>
        <item x="8"/>
        <item x="9"/>
        <item x="10"/>
        <item x="11"/>
        <item m="1" x="19"/>
        <item x="12"/>
        <item h="1" m="1" x="18"/>
        <item t="default"/>
      </items>
    </pivotField>
    <pivotField dataField="1" showAll="0"/>
    <pivotField dataField="1" showAll="0"/>
  </pivotFields>
  <rowFields count="1">
    <field x="3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4" baseField="0" baseItem="0"/>
    <dataField name="Sum of  Sales " fld="5" baseField="0" baseItem="0"/>
  </dataFields>
  <formats count="18">
    <format dxfId="204">
      <pivotArea type="all" dataOnly="0" outline="0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field="2" type="button" dataOnly="0" labelOnly="1" outline="0"/>
    </format>
    <format dxfId="200">
      <pivotArea field="-2" type="button" dataOnly="0" labelOnly="1" outline="0" axis="axisCol" fieldPosition="0"/>
    </format>
    <format dxfId="199">
      <pivotArea type="topRight" dataOnly="0" labelOnly="1" outline="0" fieldPosition="0"/>
    </format>
    <format dxfId="198">
      <pivotArea field="3" type="button" dataOnly="0" labelOnly="1" outline="0" axis="axisRow" fieldPosition="0"/>
    </format>
    <format dxfId="197">
      <pivotArea dataOnly="0" labelOnly="1" fieldPosition="0">
        <references count="1">
          <reference field="3" count="0"/>
        </references>
      </pivotArea>
    </format>
    <format dxfId="196">
      <pivotArea dataOnly="0" labelOnly="1" grandRow="1" outline="0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2" type="button" dataOnly="0" labelOnly="1" outline="0"/>
    </format>
    <format dxfId="191">
      <pivotArea field="-2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3" type="button" dataOnly="0" labelOnly="1" outline="0" axis="axisRow" fieldPosition="0"/>
    </format>
    <format dxfId="188">
      <pivotArea dataOnly="0" labelOnly="1" fieldPosition="0">
        <references count="1">
          <reference field="3" count="0"/>
        </references>
      </pivotArea>
    </format>
    <format dxfId="18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0767C-3357-475B-9F09-0FFA4080823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Item">
  <location ref="A1:B16" firstHeaderRow="1" firstDataRow="1" firstDataCol="1"/>
  <pivotFields count="7">
    <pivotField numFmtId="14" showAll="0"/>
    <pivotField showAll="0"/>
    <pivotField showAll="0">
      <items count="9">
        <item m="1" x="5"/>
        <item m="1" x="4"/>
        <item m="1" x="6"/>
        <item m="1" x="7"/>
        <item x="0"/>
        <item x="2"/>
        <item x="1"/>
        <item x="3"/>
        <item t="default"/>
      </items>
    </pivotField>
    <pivotField axis="axisRow" showAll="0">
      <items count="17">
        <item x="13"/>
        <item x="0"/>
        <item x="10"/>
        <item x="9"/>
        <item x="8"/>
        <item x="11"/>
        <item x="12"/>
        <item x="1"/>
        <item x="2"/>
        <item x="3"/>
        <item x="4"/>
        <item x="5"/>
        <item m="1" x="14"/>
        <item x="6"/>
        <item x="7"/>
        <item m="1" x="15"/>
        <item t="default"/>
      </items>
    </pivotField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Sum of Volume" fld="4" baseField="3" baseItem="0" numFmtId="3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" type="button" dataOnly="0" labelOnly="1" outline="0"/>
    </format>
    <format dxfId="17">
      <pivotArea type="topRight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grandRow="1" outline="0" fieldPosition="0"/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/>
    </format>
    <format dxfId="9">
      <pivotArea type="topRight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59BE9-9387-4485-8C29-0CE0DE02A4A6}" name="Table1" displayName="Table1" ref="B3:C21" totalsRowShown="0" headerRowDxfId="372" headerRowBorderDxfId="371" tableBorderDxfId="370">
  <autoFilter ref="B3:C21" xr:uid="{0CB59BE9-9387-4485-8C29-0CE0DE02A4A6}"/>
  <tableColumns count="2">
    <tableColumn id="1" xr3:uid="{0DC6EF8E-612B-4855-A6CB-F07EBFD09680}" name="Volume " dataDxfId="369"/>
    <tableColumn id="2" xr3:uid="{261A2E17-F95F-4C8E-9EA0-26D12D0AE6DD}" name="Revenue" dataDxfId="368" dataCellStyle="Currenc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A3E7507-080F-43E2-8D26-9569F2BE3EF1}" name="Table43" displayName="Table43" ref="T3:U21" totalsRowShown="0" headerRowDxfId="326" headerRowBorderDxfId="325" tableBorderDxfId="324">
  <autoFilter ref="T3:U21" xr:uid="{EA3E7507-080F-43E2-8D26-9569F2BE3EF1}"/>
  <tableColumns count="2">
    <tableColumn id="1" xr3:uid="{3AC90A60-9C53-4A8A-ABDD-E1433015DC76}" name="Volume " dataDxfId="323"/>
    <tableColumn id="2" xr3:uid="{5552AD3A-CC8B-423E-B95F-7067C1A7DC2B}" name="Revenue" dataDxfId="322" dataCellStyle="Currenc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6BE9834-1F14-4085-8F59-84984A06D9DA}" name="Table44" displayName="Table44" ref="V3:W21" totalsRowShown="0" headerRowDxfId="321" headerRowBorderDxfId="320" tableBorderDxfId="319">
  <autoFilter ref="V3:W21" xr:uid="{46BE9834-1F14-4085-8F59-84984A06D9DA}"/>
  <tableColumns count="2">
    <tableColumn id="1" xr3:uid="{D3D9CA93-2260-44A5-9534-54C2AF5A205F}" name="Volume " dataDxfId="318"/>
    <tableColumn id="2" xr3:uid="{F887704F-C535-471F-AF49-31881D8744BC}" name="Revenue" dataDxfId="317" dataCellStyle="Curr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C0C9553-0690-4720-902B-C571E272B45C}" name="Table45" displayName="Table45" ref="X3:Y21" totalsRowShown="0" headerRowDxfId="316" headerRowBorderDxfId="315" tableBorderDxfId="314">
  <autoFilter ref="X3:Y21" xr:uid="{8C0C9553-0690-4720-902B-C571E272B45C}"/>
  <tableColumns count="2">
    <tableColumn id="1" xr3:uid="{F49A7E30-605F-4146-88AE-4E1882635E1E}" name="Volume " dataDxfId="313"/>
    <tableColumn id="2" xr3:uid="{89092CD4-B966-49D3-A8B3-97764C47C4DC}" name="Revenue" dataDxfId="312" dataCellStyl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4A15867-4DCD-4169-B2E5-1EBC26FC8D2C}" name="Table46" displayName="Table46" ref="Z3:AA21" totalsRowShown="0" headerRowDxfId="311" headerRowBorderDxfId="310" tableBorderDxfId="309">
  <autoFilter ref="Z3:AA21" xr:uid="{F4A15867-4DCD-4169-B2E5-1EBC26FC8D2C}"/>
  <tableColumns count="2">
    <tableColumn id="1" xr3:uid="{24AC3835-DBAB-4C7B-A428-8F9693CB7868}" name="Volume " dataDxfId="308"/>
    <tableColumn id="2" xr3:uid="{A1A5C0AA-FA17-43AB-9F0B-7350FBD412CD}" name="Revenue" dataDxfId="307" dataCellStyle="Currenc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6EB03E6-D21A-4F05-81DB-3731AAF0FD1C}" name="Table47" displayName="Table47" ref="AB3:AC21" totalsRowShown="0" headerRowDxfId="306" headerRowBorderDxfId="305" tableBorderDxfId="304">
  <autoFilter ref="AB3:AC21" xr:uid="{66EB03E6-D21A-4F05-81DB-3731AAF0FD1C}"/>
  <tableColumns count="2">
    <tableColumn id="1" xr3:uid="{2DEBAFEC-CA60-446C-B2FC-2BB0A21AE2FD}" name="Volume " dataDxfId="303"/>
    <tableColumn id="2" xr3:uid="{E31DE377-9021-41E8-BDBD-C5BDBDED84AE}" name="Revenue" dataDxfId="302" dataCellStyle="Currenc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FA21CF8-4933-42EF-AF55-B9DBE0606792}" name="Table48" displayName="Table48" ref="AD3:AE21" totalsRowShown="0" headerRowDxfId="301" headerRowBorderDxfId="300" tableBorderDxfId="299">
  <autoFilter ref="AD3:AE21" xr:uid="{2FA21CF8-4933-42EF-AF55-B9DBE0606792}"/>
  <tableColumns count="2">
    <tableColumn id="1" xr3:uid="{ACD203E8-30C8-48BA-97C8-B3FAD19EABD8}" name="Volume " dataDxfId="298"/>
    <tableColumn id="2" xr3:uid="{C507A99C-7EB6-4985-9FCB-25C86CEAD62A}" name="Revenue" dataDxfId="297" dataCellStyle="Currency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E48C775-2984-46E6-8405-E0EE27AA85AE}" name="Table49" displayName="Table49" ref="AF3:AG21" totalsRowShown="0" headerRowDxfId="296" headerRowBorderDxfId="295" tableBorderDxfId="294">
  <autoFilter ref="AF3:AG21" xr:uid="{1E48C775-2984-46E6-8405-E0EE27AA85AE}"/>
  <tableColumns count="2">
    <tableColumn id="1" xr3:uid="{E063467D-8BB5-47FA-86A9-8C8C65502742}" name="Volume " dataDxfId="293"/>
    <tableColumn id="2" xr3:uid="{64FEEBA5-39EB-4045-BBF1-771B8CA84663}" name="Revenue" dataDxfId="292" dataCellStyle="Currency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849E315-4FF2-4078-A1EF-C12BE96F0D44}" name="Table50" displayName="Table50" ref="AH3:AI21" totalsRowShown="0" headerRowDxfId="291" headerRowBorderDxfId="290" tableBorderDxfId="289">
  <autoFilter ref="AH3:AI21" xr:uid="{1849E315-4FF2-4078-A1EF-C12BE96F0D44}"/>
  <tableColumns count="2">
    <tableColumn id="1" xr3:uid="{F892C4E3-5302-4816-933B-628D990C8D99}" name="Volume " dataDxfId="288"/>
    <tableColumn id="2" xr3:uid="{D7612523-1F77-4491-8FFD-DBF5E1CF39A4}" name="Revenue" dataDxfId="287" dataCellStyle="Currency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F79880A-E59D-460B-A8CB-7B0FFD7D17E3}" name="Table51" displayName="Table51" ref="AJ3:AK21" totalsRowShown="0" headerRowDxfId="286" headerRowBorderDxfId="285" tableBorderDxfId="284">
  <autoFilter ref="AJ3:AK21" xr:uid="{CF79880A-E59D-460B-A8CB-7B0FFD7D17E3}"/>
  <tableColumns count="2">
    <tableColumn id="1" xr3:uid="{8ED638B1-E722-4887-ADEB-7BF48D3F60DA}" name="Volume " dataDxfId="283"/>
    <tableColumn id="2" xr3:uid="{2D985334-FB16-402A-862F-D496DF0A80A9}" name="Revenue" dataDxfId="282" dataCellStyle="Currenc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DF36448-39F5-4DC0-8D65-1618C16A004E}" name="Table52" displayName="Table52" ref="AL3:AM21" totalsRowShown="0" headerRowDxfId="281" headerRowBorderDxfId="280" tableBorderDxfId="279">
  <autoFilter ref="AL3:AM21" xr:uid="{ADF36448-39F5-4DC0-8D65-1618C16A004E}"/>
  <tableColumns count="2">
    <tableColumn id="1" xr3:uid="{829F7E24-5B1A-41AD-906D-51FC292B8282}" name="Volume " dataDxfId="278"/>
    <tableColumn id="2" xr3:uid="{EAFFBF73-0277-440B-BEB6-5AE325CB6420}" name="Revenue" dataDxfId="27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C575B3-58CA-4E8B-81DC-3529652E37D1}" name="Table8" displayName="Table8" ref="D3:E21" totalsRowShown="0" headerRowDxfId="367" headerRowBorderDxfId="366" tableBorderDxfId="365">
  <autoFilter ref="D3:E21" xr:uid="{AEC575B3-58CA-4E8B-81DC-3529652E37D1}"/>
  <tableColumns count="2">
    <tableColumn id="1" xr3:uid="{2819AC71-BE8A-4B53-9E1A-BBE30BA8D71E}" name="Volume " dataDxfId="364"/>
    <tableColumn id="2" xr3:uid="{9CBEE84E-6E06-4B10-B62E-13675409143C}" name="Revenue" dataDxfId="363" dataCellStyle="Currenc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3E83D70-C309-4655-9E1C-5BFF815BF97B}" name="Table53" displayName="Table53" ref="AN3:AO21" totalsRowShown="0" headerRowDxfId="276" headerRowBorderDxfId="275" tableBorderDxfId="274">
  <autoFilter ref="AN3:AO21" xr:uid="{E3E83D70-C309-4655-9E1C-5BFF815BF97B}"/>
  <tableColumns count="2">
    <tableColumn id="1" xr3:uid="{042D51B2-4A0D-4A63-BD20-EAFE766219BA}" name="Volume " dataDxfId="273"/>
    <tableColumn id="2" xr3:uid="{A7E3A026-4AB1-4A7A-A720-A0B0E06D587B}" name="Revenue" dataDxfId="272" dataCellStyle="Currency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B158603-ADB8-49BD-8E62-597158AF9EF5}" name="Table54" displayName="Table54" ref="AP3:AQ21" totalsRowShown="0" headerRowDxfId="271" headerRowBorderDxfId="270" tableBorderDxfId="269">
  <autoFilter ref="AP3:AQ21" xr:uid="{5B158603-ADB8-49BD-8E62-597158AF9EF5}"/>
  <tableColumns count="2">
    <tableColumn id="1" xr3:uid="{EBEB592F-2F86-4A7E-A99F-244696697EBE}" name="Volume " dataDxfId="268"/>
    <tableColumn id="2" xr3:uid="{9DD8D9D4-7670-4DFA-AB62-2B3A31D01F00}" name="Revenue" dataDxfId="267" dataCellStyle="Currency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CE3C043-93E4-4285-81D2-87E1A4F85058}" name="Table55" displayName="Table55" ref="AR3:AS21" totalsRowShown="0" headerRowDxfId="266" headerRowBorderDxfId="265" tableBorderDxfId="264">
  <autoFilter ref="AR3:AS21" xr:uid="{7CE3C043-93E4-4285-81D2-87E1A4F85058}"/>
  <tableColumns count="2">
    <tableColumn id="1" xr3:uid="{7A824C3F-C220-410C-A092-02FCCDF669EE}" name="Volume " dataDxfId="263"/>
    <tableColumn id="2" xr3:uid="{7992094E-CF85-40B5-BCCF-C3C54BCC3BBC}" name="Revenue" dataDxfId="262" dataCellStyle="Currency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12CA100-27ED-4203-9D4B-CFB53600BBC5}" name="Table56" displayName="Table56" ref="AT3:AU21" totalsRowShown="0" headerRowDxfId="261" headerRowBorderDxfId="260" tableBorderDxfId="259">
  <autoFilter ref="AT3:AU21" xr:uid="{012CA100-27ED-4203-9D4B-CFB53600BBC5}"/>
  <tableColumns count="2">
    <tableColumn id="1" xr3:uid="{78CD9205-835C-47E1-B383-D57009E6EB6F}" name="Volume " dataDxfId="258"/>
    <tableColumn id="2" xr3:uid="{ABA8C09D-5045-4FC4-A48B-8570E62BC96F}" name="Revenue" dataDxfId="257" dataCellStyle="Currency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115C1E83-B4F4-45F1-A766-E70A73305816}" name="Table57" displayName="Table57" ref="AV3:AW21" totalsRowShown="0" headerRowDxfId="256" headerRowBorderDxfId="255" tableBorderDxfId="254">
  <autoFilter ref="AV3:AW21" xr:uid="{115C1E83-B4F4-45F1-A766-E70A73305816}"/>
  <tableColumns count="2">
    <tableColumn id="1" xr3:uid="{FE217D65-F2DC-4D8A-A922-40DCB9875239}" name="Volume " dataDxfId="253"/>
    <tableColumn id="2" xr3:uid="{8716AF63-6D4B-4DE2-80D9-13A130C38C0A}" name="Revenue" dataDxfId="252" dataCellStyle="Currenc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29D6B4A-379B-4A9A-B6B1-5EDB8A4E8C1D}" name="Table58" displayName="Table58" ref="AX3:AY21" totalsRowShown="0" headerRowDxfId="251" headerRowBorderDxfId="250" tableBorderDxfId="249">
  <autoFilter ref="AX3:AY21" xr:uid="{629D6B4A-379B-4A9A-B6B1-5EDB8A4E8C1D}"/>
  <tableColumns count="2">
    <tableColumn id="1" xr3:uid="{49E9EC5F-A9F3-4AC8-814F-BE47BD8D4551}" name="Volume " dataDxfId="248"/>
    <tableColumn id="2" xr3:uid="{971BFCEF-90DA-4890-927D-465F1FE2E4D2}" name="Revenue" dataDxfId="247" dataCellStyle="Currenc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A55B8A6-B316-4294-9A3A-5F51D879E71C}" name="Table59" displayName="Table59" ref="AZ3:BA21" totalsRowShown="0" headerRowDxfId="246" headerRowBorderDxfId="245" tableBorderDxfId="244">
  <autoFilter ref="AZ3:BA21" xr:uid="{2A55B8A6-B316-4294-9A3A-5F51D879E71C}"/>
  <tableColumns count="2">
    <tableColumn id="1" xr3:uid="{08214F25-BDBF-486D-820C-1E8A4A55F1BF}" name="Volume " dataDxfId="243"/>
    <tableColumn id="2" xr3:uid="{9B9A2440-F6B8-4401-BB7F-7C9E8012CB41}" name="Revenue" dataDxfId="242" dataCellStyle="Currency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8A1634D-1EA7-452F-88DF-4DEEF535344B}" name="Table60" displayName="Table60" ref="BB3:BC21" totalsRowShown="0" headerRowDxfId="241" headerRowBorderDxfId="240" tableBorderDxfId="239">
  <autoFilter ref="BB3:BC21" xr:uid="{F8A1634D-1EA7-452F-88DF-4DEEF535344B}"/>
  <tableColumns count="2">
    <tableColumn id="1" xr3:uid="{8294C65A-88F9-4C5E-BD62-39297B0F9D4E}" name="Volume " dataDxfId="238"/>
    <tableColumn id="2" xr3:uid="{5189A397-5EC6-4E8C-A144-7CE8CBAC27F7}" name="Revenue" dataDxfId="237" dataCellStyle="Currency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F36DE11-AB56-406E-902F-E6991D00AD1E}" name="Table61" displayName="Table61" ref="BD3:BE21" totalsRowShown="0" headerRowDxfId="236" headerRowBorderDxfId="235" tableBorderDxfId="234">
  <autoFilter ref="BD3:BE21" xr:uid="{7F36DE11-AB56-406E-902F-E6991D00AD1E}"/>
  <tableColumns count="2">
    <tableColumn id="1" xr3:uid="{25CE4AC4-C74E-4CD1-9219-63D553C1B573}" name="Volume " dataDxfId="233"/>
    <tableColumn id="2" xr3:uid="{64273FA9-EF42-43B1-9EAF-A6DAC5CF7494}" name="Revenue" dataDxfId="232" dataCellStyle="Currency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4AC9144-93AF-4346-913F-3AA406B19B17}" name="Table62" displayName="Table62" ref="BF3:BG21" totalsRowShown="0" headerRowDxfId="231" headerRowBorderDxfId="230" tableBorderDxfId="229">
  <autoFilter ref="BF3:BG21" xr:uid="{F4AC9144-93AF-4346-913F-3AA406B19B17}"/>
  <tableColumns count="2">
    <tableColumn id="1" xr3:uid="{BB69BD6D-1D7F-4F70-A394-BB97B3C3DAF7}" name="Volume " dataDxfId="228"/>
    <tableColumn id="2" xr3:uid="{31E3AEB5-AED4-4B90-AC73-C82770C6F81F}" name="Revenue" dataDxfId="227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7452897-EF3F-476C-8793-CE3FD636FC8A}" name="Table36" displayName="Table36" ref="F3:G21" totalsRowShown="0" headerRowDxfId="362" headerRowBorderDxfId="361" tableBorderDxfId="360">
  <autoFilter ref="F3:G21" xr:uid="{17452897-EF3F-476C-8793-CE3FD636FC8A}"/>
  <tableColumns count="2">
    <tableColumn id="1" xr3:uid="{66CDBACA-8706-4F63-9B05-30ABB1276D0B}" name="Volume " dataDxfId="359"/>
    <tableColumn id="2" xr3:uid="{6E319ACE-F9A0-4F35-8D9E-9A35DDC4B933}" name="Revenue" dataDxfId="358" dataCellStyle="Currency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196086A-4A25-4597-887D-1D27AFA3DE5D}" name="Table63" displayName="Table63" ref="BH3:BI21" totalsRowShown="0" headerRowDxfId="226" headerRowBorderDxfId="225" tableBorderDxfId="224">
  <autoFilter ref="BH3:BI21" xr:uid="{0196086A-4A25-4597-887D-1D27AFA3DE5D}"/>
  <tableColumns count="2">
    <tableColumn id="1" xr3:uid="{0168764C-69D7-4217-BC9E-D0FC8121A053}" name="Volume " dataDxfId="223"/>
    <tableColumn id="2" xr3:uid="{8DD3EA3A-2D2D-4E0E-A380-0CCCDB4BAC60}" name="Revenue" dataDxfId="222" dataCellStyle="Currenc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949C61F-809E-48E7-B645-ADB8F6CFD1F8}" name="Table64" displayName="Table64" ref="BJ3:BK21" totalsRowShown="0" headerRowDxfId="221" dataDxfId="219" headerRowBorderDxfId="220">
  <autoFilter ref="BJ3:BK21" xr:uid="{0949C61F-809E-48E7-B645-ADB8F6CFD1F8}"/>
  <tableColumns count="2">
    <tableColumn id="1" xr3:uid="{A9E85A96-6594-4BB6-AF4C-89E73FB85385}" name="Volume " dataDxfId="218"/>
    <tableColumn id="2" xr3:uid="{9FD81867-A70A-408E-A6A4-DE5CAD40C1B0}" name="Volume 2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34F8192-D456-452B-ABEA-422AC24115EB}" name="Table65" displayName="Table65" ref="BL3:BM21" totalsRowShown="0" dataDxfId="215" headerRowBorderDxfId="216">
  <autoFilter ref="BL3:BM21" xr:uid="{A34F8192-D456-452B-ABEA-422AC24115EB}"/>
  <tableColumns count="2">
    <tableColumn id="1" xr3:uid="{C1610558-0184-491A-A89E-AF1B89C33C3E}" name="Volume " dataDxfId="214">
      <calculatedColumnFormula>SUM(B4,D4,F4,H4,J4,L4,N4,P4,R4,T4,V4,X4,Z4,AB4,AD4,AF4,AH4,AJ4,AL4,AN4,AP4,AR4,AT4,AV4,AX4,AZ4,BB4,BD4,BF4,BH4,BJ4)</calculatedColumnFormula>
    </tableColumn>
    <tableColumn id="2" xr3:uid="{A7073213-07F9-4100-9A43-8DCE076CA4BB}" name="Revenue" dataDxfId="213">
      <calculatedColumnFormula>SUM(C4,E4,G4,I4,K4,M4,O4,Q4,S4,U4,W4,Y4,AA4,AC4,AE4,AG4,AI4,AK4,AM4,AO4,AQ4,AS4,AU4,AW4,AY4,BA4,BC4,BE4,BG4,BI4,BK4)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545309CE-3B66-4638-A4AF-0360AFA77313}" name="Table69" displayName="Table69" ref="A1:F232" totalsRowShown="0" headerRowDxfId="212" dataDxfId="211">
  <autoFilter ref="A1:F232" xr:uid="{545309CE-3B66-4638-A4AF-0360AFA77313}"/>
  <tableColumns count="6">
    <tableColumn id="1" xr3:uid="{36CE2775-7DE0-4E7E-A44A-AEA2054BDB78}" name="Date" dataDxfId="210"/>
    <tableColumn id="2" xr3:uid="{3180FCA0-5D78-44ED-BD20-BF328A9EC39A}" name="Day" dataDxfId="209"/>
    <tableColumn id="3" xr3:uid="{F2222ED0-6D24-4F0C-B3B2-1D8E9912B300}" name="Week" dataDxfId="208"/>
    <tableColumn id="4" xr3:uid="{2E56309F-B189-4101-8E4C-189DC8453C7F}" name="Item" dataDxfId="207"/>
    <tableColumn id="5" xr3:uid="{FE8070A7-EF32-4B84-8A7E-61BA8DBCE0B5}" name="Volume" dataDxfId="206"/>
    <tableColumn id="6" xr3:uid="{DCBD79C4-9D40-43D0-A658-FD97B12C043F}" name=" Sales " dataDxfId="205" dataCellStyle="Currency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D336CF-8F78-4CFD-90FF-76ED5E45BF2C}" name="Table16" displayName="Table16" ref="B3:C21" totalsRowShown="0" headerRowDxfId="186" headerRowBorderDxfId="185" tableBorderDxfId="184">
  <autoFilter ref="B3:C21" xr:uid="{B1D336CF-8F78-4CFD-90FF-76ED5E45BF2C}"/>
  <tableColumns count="2">
    <tableColumn id="1" xr3:uid="{B907687E-FC25-4323-B287-334F296415FB}" name="Volume " dataDxfId="183">
      <calculatedColumnFormula>IFERROR(VLOOKUP($A4,[32]!Table1[#All],2,0),"-")</calculatedColumnFormula>
    </tableColumn>
    <tableColumn id="2" xr3:uid="{01479E36-6CCB-4E85-8DBA-74FFA44DCBCD}" name="Revenue" dataDxfId="182" dataCellStyle="Currency">
      <calculatedColumnFormula>IFERROR(VLOOKUP($A4,[32]!Table1[#All],3,0),"-")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5A4064-2ED0-498A-AD68-63B2F36BC0EF}" name="Table6" displayName="Table6" ref="D3:E21" totalsRowShown="0" headerRowDxfId="181" dataDxfId="179" headerRowBorderDxfId="180">
  <autoFilter ref="D3:E21" xr:uid="{B15A4064-2ED0-498A-AD68-63B2F36BC0EF}"/>
  <tableColumns count="2">
    <tableColumn id="1" xr3:uid="{1F63D2E6-A1BE-4C07-8EE6-01043EF78EB9}" name="Volume " dataDxfId="178"/>
    <tableColumn id="2" xr3:uid="{DB05B598-B75F-4A0F-B9DB-87199ABC93C4}" name="Revenue" dataDxfId="177" dataCellStyle="Currenc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7E748C-E97A-45FE-A61E-E47507B63BAA}" name="Table7" displayName="Table7" ref="F3:G21" totalsRowShown="0" headerRowDxfId="176" headerRowBorderDxfId="175">
  <autoFilter ref="F3:G21" xr:uid="{717E748C-E97A-45FE-A61E-E47507B63BAA}"/>
  <tableColumns count="2">
    <tableColumn id="1" xr3:uid="{6AD291F2-4F50-4C63-BB8B-1AC2BEE7DA79}" name="Volume " dataDxfId="174">
      <calculatedColumnFormula>IFERROR(VLOOKUP($A4,[34]!Table2[#All],2,0),"-")</calculatedColumnFormula>
    </tableColumn>
    <tableColumn id="2" xr3:uid="{FF12B930-6698-4839-9BB6-68364958857A}" name="Revenue" dataDxfId="173" dataCellStyle="Currency">
      <calculatedColumnFormula>IFERROR(VLOOKUP($A4,[34]!Table2[#All],3,0),"-")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0A3CA-EFFF-407C-AB86-26E2CCD345EB}" name="Table2" displayName="Table2" ref="H3:I21" totalsRowShown="0" headerRowDxfId="172" headerRowBorderDxfId="171" tableBorderDxfId="170">
  <autoFilter ref="H3:I21" xr:uid="{4C00A3CA-EFFF-407C-AB86-26E2CCD345EB}"/>
  <tableColumns count="2">
    <tableColumn id="1" xr3:uid="{D21B99D0-9B4A-4B53-9914-BDEABC4723AF}" name="Volume " dataDxfId="169"/>
    <tableColumn id="2" xr3:uid="{E65DE4FD-90A4-43C2-8885-00D6FC29FACC}" name="Revenue" dataDxfId="168" dataCellStyle="Currenc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887532-91EA-4A29-869E-9E70C89BCDBF}" name="Table9" displayName="Table9" ref="J3:K21" totalsRowShown="0" headerRowDxfId="167" headerRowBorderDxfId="166" tableBorderDxfId="165">
  <autoFilter ref="J3:K21" xr:uid="{6D887532-91EA-4A29-869E-9E70C89BCDBF}"/>
  <tableColumns count="2">
    <tableColumn id="1" xr3:uid="{0A91E1D1-6DEC-4FAE-A012-C38E8B873445}" name="Volume " dataDxfId="164"/>
    <tableColumn id="2" xr3:uid="{27BD89B4-203C-4057-A94A-8B84A7258C1D}" name="Revenue" dataDxfId="163" dataCellStyle="Currenc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9B8E63-30C5-4BF3-B868-3D8A21FFF3AD}" name="Table3" displayName="Table3" ref="L3:M21" totalsRowShown="0" headerRowDxfId="162" headerRowBorderDxfId="161">
  <autoFilter ref="L3:M21" xr:uid="{839B8E63-30C5-4BF3-B868-3D8A21FFF3AD}"/>
  <tableColumns count="2">
    <tableColumn id="1" xr3:uid="{F00B7D15-898F-403F-9BBE-BDFAA1E0C8CC}" name="Volume " dataDxfId="160"/>
    <tableColumn id="2" xr3:uid="{EF4D28B1-6209-49C0-9BA6-1DD73A279621}" name="Revenue" dataDxfId="15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2DAA201-F49D-4297-BD57-0DE4F466629F}" name="Table37" displayName="Table37" ref="H3:I21" totalsRowShown="0" headerRowDxfId="357" dataDxfId="355" headerRowBorderDxfId="356" tableBorderDxfId="354">
  <autoFilter ref="H3:I21" xr:uid="{12DAA201-F49D-4297-BD57-0DE4F466629F}"/>
  <tableColumns count="2">
    <tableColumn id="1" xr3:uid="{942F324E-5C2D-4ADA-A69B-78DC7E277472}" name="Volume " dataDxfId="353"/>
    <tableColumn id="2" xr3:uid="{075D52C1-C36E-479E-9883-10124D8AE5E2}" name="Revenue" dataDxfId="352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B4DF2-B5CD-4483-9714-69056791660F}" name="Table4" displayName="Table4" ref="N3:O21" totalsRowShown="0" headerRowDxfId="158" headerRowBorderDxfId="157" tableBorderDxfId="156">
  <autoFilter ref="N3:O21" xr:uid="{4D3B4DF2-B5CD-4483-9714-69056791660F}"/>
  <tableColumns count="2">
    <tableColumn id="1" xr3:uid="{1AC2046F-E2F6-4FE0-86D3-88D5D1195665}" name="Volume " dataDxfId="155"/>
    <tableColumn id="2" xr3:uid="{511851A8-7696-4447-A988-61EEB8FFC63D}" name="Revenue" dataDxfId="154" dataCellStyle="Currency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BD8446-C92A-4D06-ABC0-9D425A359907}" name="Table10" displayName="Table10" ref="P3:Q21" totalsRowShown="0" headerRowDxfId="153" headerRowBorderDxfId="152" tableBorderDxfId="151">
  <autoFilter ref="P3:Q21" xr:uid="{C7BD8446-C92A-4D06-ABC0-9D425A359907}"/>
  <tableColumns count="2">
    <tableColumn id="1" xr3:uid="{C9825B80-1431-41C2-A74C-1564A028FC87}" name="Volume " dataDxfId="150"/>
    <tableColumn id="2" xr3:uid="{45446134-3279-41B2-9F93-F42C60B588C1}" name="Revenue" dataDxfId="149" dataCellStyle="Currency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A1903A-B4B7-40FB-AF3F-B07198B41D01}" name="Table11" displayName="Table11" ref="R3:S21" totalsRowShown="0" headerRowDxfId="148" headerRowBorderDxfId="147" tableBorderDxfId="146">
  <autoFilter ref="R3:S21" xr:uid="{CAA1903A-B4B7-40FB-AF3F-B07198B41D01}"/>
  <tableColumns count="2">
    <tableColumn id="1" xr3:uid="{F23BBF1B-9486-41DE-879C-4BCD42A804A1}" name="Volume " dataDxfId="145"/>
    <tableColumn id="2" xr3:uid="{AF7CE16F-85B4-4DFC-9B01-3E169079ED54}" name="Revenue" dataDxfId="144" dataCellStyle="Currency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064AFD-85EB-4C4C-BC43-0D4F9984BD99}" name="Table12" displayName="Table12" ref="T3:U21" totalsRowShown="0" headerRowDxfId="143" headerRowBorderDxfId="142" tableBorderDxfId="141">
  <autoFilter ref="T3:U21" xr:uid="{27064AFD-85EB-4C4C-BC43-0D4F9984BD99}"/>
  <tableColumns count="2">
    <tableColumn id="1" xr3:uid="{FDDD8B22-3C5E-4757-A0B1-6947C9B66C88}" name="Volume " dataDxfId="140"/>
    <tableColumn id="2" xr3:uid="{2CCD41C3-C861-4E64-91F8-6E0673B8339B}" name="Revenue" dataDxfId="139" dataCellStyle="Currency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FE4A0E-075B-42CD-BA25-371B3AB832D1}" name="Table13" displayName="Table13" ref="V3:W21" totalsRowShown="0" headerRowDxfId="138" headerRowBorderDxfId="137" tableBorderDxfId="136">
  <autoFilter ref="V3:W21" xr:uid="{4AFE4A0E-075B-42CD-BA25-371B3AB832D1}"/>
  <tableColumns count="2">
    <tableColumn id="1" xr3:uid="{F70FBD67-10E5-4D9D-B881-F0D5C5D8D052}" name="Volume " dataDxfId="135"/>
    <tableColumn id="2" xr3:uid="{1817D600-679D-4D6E-887D-BC4D7F6639FB}" name="Revenue" dataDxfId="134" dataCellStyle="Currency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AB9921-C8C3-45BE-AED3-93F159B3185E}" name="Table14" displayName="Table14" ref="X3:Y21" totalsRowShown="0" headerRowDxfId="133" headerRowBorderDxfId="132" tableBorderDxfId="131">
  <autoFilter ref="X3:Y21" xr:uid="{03AB9921-C8C3-45BE-AED3-93F159B3185E}"/>
  <tableColumns count="2">
    <tableColumn id="1" xr3:uid="{542B012A-5E45-422B-A443-EE9EF1571999}" name="Volume " dataDxfId="130"/>
    <tableColumn id="2" xr3:uid="{60A817FD-0186-4A0B-9591-5BC20E598476}" name="Revenue" dataDxfId="129" dataCellStyle="Currency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3E9EC0-B71A-49EF-A4E2-29B5E3E30A19}" name="Table15" displayName="Table15" ref="Z3:AA21" totalsRowShown="0" headerRowDxfId="128" headerRowBorderDxfId="127" tableBorderDxfId="126">
  <autoFilter ref="Z3:AA21" xr:uid="{0F3E9EC0-B71A-49EF-A4E2-29B5E3E30A19}"/>
  <tableColumns count="2">
    <tableColumn id="1" xr3:uid="{2F3B4561-D5DA-4328-B4D7-EEF2B9E7316E}" name="Volume " dataDxfId="125"/>
    <tableColumn id="2" xr3:uid="{EDF2FE2B-BC25-4A51-97E5-D0ED48254A58}" name="Revenue" dataDxfId="124" dataCellStyle="Currency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B6E46C1-D4DC-4FF5-BA63-79E1C90F4F3D}" name="Table17" displayName="Table17" ref="AB3:AC21" totalsRowShown="0" headerRowDxfId="123" headerRowBorderDxfId="122" tableBorderDxfId="121">
  <autoFilter ref="AB3:AC21" xr:uid="{2B6E46C1-D4DC-4FF5-BA63-79E1C90F4F3D}"/>
  <tableColumns count="2">
    <tableColumn id="1" xr3:uid="{8BB29C35-A5E0-4174-AF2E-069FAF7D7656}" name="Volume " dataDxfId="120"/>
    <tableColumn id="2" xr3:uid="{618D049D-FB1A-4F4D-B53F-654060DE76CF}" name="Revenue" dataDxfId="119" dataCellStyle="Currency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89BE5A-3EB4-4312-8A29-1C8F92A96C55}" name="Table18" displayName="Table18" ref="AD3:AE21" totalsRowShown="0" headerRowDxfId="118" headerRowBorderDxfId="117">
  <autoFilter ref="AD3:AE21" xr:uid="{0389BE5A-3EB4-4312-8A29-1C8F92A96C55}"/>
  <tableColumns count="2">
    <tableColumn id="1" xr3:uid="{C15F8E43-6270-4C9C-8DF7-ABF34058AA49}" name="Volume " dataDxfId="116"/>
    <tableColumn id="2" xr3:uid="{FEFF5AB9-BB6D-4B6F-B2C3-911E10C0E195}" name="Revenue" dataDxfId="115" dataCellStyle="Currency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F8E4E44-D98D-440C-86C5-CB2D4F47294E}" name="Table19" displayName="Table19" ref="AF3:AG21" totalsRowShown="0" headerRowDxfId="114" headerRowBorderDxfId="113" tableBorderDxfId="112">
  <autoFilter ref="AF3:AG21" xr:uid="{AF8E4E44-D98D-440C-86C5-CB2D4F47294E}"/>
  <tableColumns count="2">
    <tableColumn id="1" xr3:uid="{2091B606-768D-4CF0-A406-9E4E1874D9A6}" name="Volume " dataDxfId="111"/>
    <tableColumn id="2" xr3:uid="{114D5507-DDC4-4C1C-9F42-E66E0C731C4A}" name="Revenue" dataDxfId="110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A92B799-1AAB-444D-869B-36BED99B5411}" name="Table38" displayName="Table38" ref="J3:K21" totalsRowShown="0" headerRowDxfId="351" headerRowBorderDxfId="350" tableBorderDxfId="349">
  <autoFilter ref="J3:K21" xr:uid="{EA92B799-1AAB-444D-869B-36BED99B5411}"/>
  <tableColumns count="2">
    <tableColumn id="1" xr3:uid="{1442208C-F0BB-4C8F-8713-EC66A2AEFE5E}" name="Volume " dataDxfId="348"/>
    <tableColumn id="2" xr3:uid="{8F722E6D-9988-4AFD-87A3-C388CED1BCEF}" name="Revenue" dataDxfId="347" dataCellStyle="Currency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0F9B60-6ECD-4199-8978-0634F1904533}" name="Table20" displayName="Table20" ref="AH3:AI21" totalsRowShown="0" headerRowDxfId="109" headerRowBorderDxfId="108" tableBorderDxfId="107">
  <autoFilter ref="AH3:AI21" xr:uid="{310F9B60-6ECD-4199-8978-0634F1904533}"/>
  <tableColumns count="2">
    <tableColumn id="1" xr3:uid="{80224E0F-B061-4C0C-A02F-AC2684A7E59D}" name="Volume " dataDxfId="106"/>
    <tableColumn id="2" xr3:uid="{7E6A1361-EC0D-4CA9-83BD-3566886C7F4B}" name="Revenue" dataDxfId="105" dataCellStyle="Currency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6E5712-9FC0-4EAF-966F-0355E715AFAC}" name="Table21" displayName="Table21" ref="AJ3:AK21" totalsRowShown="0" headerRowDxfId="104" headerRowBorderDxfId="103" tableBorderDxfId="102">
  <autoFilter ref="AJ3:AK21" xr:uid="{EC6E5712-9FC0-4EAF-966F-0355E715AFAC}"/>
  <tableColumns count="2">
    <tableColumn id="1" xr3:uid="{7708F285-92CB-4ED0-94B1-852FBF3B0242}" name="Volume " dataDxfId="101"/>
    <tableColumn id="2" xr3:uid="{A02D0D58-3F59-4452-B4BC-471D6A9C752C}" name="Revenue" dataDxfId="100" dataCellStyle="Currency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521B6B-371C-4A14-8050-DADBFC759ACA}" name="Table22" displayName="Table22" ref="AL3:AM21" totalsRowShown="0" headerRowDxfId="99" headerRowBorderDxfId="98" tableBorderDxfId="97">
  <autoFilter ref="AL3:AM21" xr:uid="{BA521B6B-371C-4A14-8050-DADBFC759ACA}"/>
  <tableColumns count="2">
    <tableColumn id="1" xr3:uid="{E5DDD629-18C9-4317-B3C0-6C25308789C4}" name="Volume " dataDxfId="96"/>
    <tableColumn id="2" xr3:uid="{3A995DC9-8800-44D6-A3CA-D58B28FAFBAB}" name="Revenue" dataDxfId="95" dataCellStyle="Currency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E59A1F-2D01-424C-8EA2-C36CF7344BB0}" name="Table23" displayName="Table23" ref="AN3:AO21" totalsRowShown="0" headerRowDxfId="94" headerRowBorderDxfId="93" tableBorderDxfId="92">
  <autoFilter ref="AN3:AO21" xr:uid="{EEE59A1F-2D01-424C-8EA2-C36CF7344BB0}"/>
  <tableColumns count="2">
    <tableColumn id="1" xr3:uid="{C89DABBB-658A-4898-A4B8-0720C4487D47}" name="Volume " dataDxfId="91"/>
    <tableColumn id="2" xr3:uid="{928A2F1D-8122-464B-955A-E7D026B71266}" name="Revenue" dataDxfId="90" dataCellStyle="Currency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3AB974-2225-4550-AD44-0371A80F9787}" name="Table24" displayName="Table24" ref="AP3:AQ21" totalsRowShown="0" headerRowDxfId="89" headerRowBorderDxfId="88" tableBorderDxfId="87">
  <autoFilter ref="AP3:AQ21" xr:uid="{E03AB974-2225-4550-AD44-0371A80F9787}"/>
  <tableColumns count="2">
    <tableColumn id="1" xr3:uid="{6AA82B4C-26D9-4FE0-B79C-92FB9A288DDD}" name="Volume " dataDxfId="86"/>
    <tableColumn id="2" xr3:uid="{8C2CD7BC-C138-40D7-A5C5-B2FC5A425037}" name="Revenue" dataDxfId="85" dataCellStyle="Currency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7A55877-1A8E-4DF0-9F6A-FA489FC46FB3}" name="Table25" displayName="Table25" ref="AR3:AS21" totalsRowShown="0" headerRowDxfId="84" headerRowBorderDxfId="83" tableBorderDxfId="82">
  <autoFilter ref="AR3:AS21" xr:uid="{77A55877-1A8E-4DF0-9F6A-FA489FC46FB3}"/>
  <tableColumns count="2">
    <tableColumn id="1" xr3:uid="{A05522EF-FDA1-4DE6-AFD2-0BC28F6CB7B5}" name="Volume " dataDxfId="81"/>
    <tableColumn id="2" xr3:uid="{5236ADC5-CCB2-425E-B32A-4DA542C9F0AF}" name="Revenue" dataDxfId="80" dataCellStyle="Currency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DE0362-CC88-48DC-8104-08D6B37CAE8B}" name="Table26" displayName="Table26" ref="AT3:AU21" totalsRowShown="0" headerRowDxfId="79" headerRowBorderDxfId="78" tableBorderDxfId="77">
  <autoFilter ref="AT3:AU21" xr:uid="{84DE0362-CC88-48DC-8104-08D6B37CAE8B}"/>
  <tableColumns count="2">
    <tableColumn id="1" xr3:uid="{DD640A24-40F0-4C10-B781-338EC3154330}" name="Volume " dataDxfId="76"/>
    <tableColumn id="2" xr3:uid="{05914747-8EEC-42D5-9D6A-CE9D8F0BF21E}" name="Revenue" dataDxfId="75" dataCellStyle="Currency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9F83B20-14AF-46A6-A087-CD8388F4C255}" name="Table27" displayName="Table27" ref="AV3:AW21" totalsRowShown="0" headerRowDxfId="74" headerRowBorderDxfId="73" tableBorderDxfId="72">
  <autoFilter ref="AV3:AW21" xr:uid="{E9F83B20-14AF-46A6-A087-CD8388F4C255}"/>
  <tableColumns count="2">
    <tableColumn id="1" xr3:uid="{B2C99884-1898-4411-B386-C7F4B73D8EE8}" name="Volume " dataDxfId="71"/>
    <tableColumn id="2" xr3:uid="{88D2BAE0-57E1-471C-B6E7-798782620E97}" name="Revenue" dataDxfId="70" dataCellStyle="Currency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A470F03-D74F-408C-A496-C9F07C5E4C6D}" name="Table28" displayName="Table28" ref="AX3:AY21" totalsRowShown="0" headerRowDxfId="69" headerRowBorderDxfId="68" tableBorderDxfId="67">
  <autoFilter ref="AX3:AY21" xr:uid="{1A470F03-D74F-408C-A496-C9F07C5E4C6D}"/>
  <tableColumns count="2">
    <tableColumn id="1" xr3:uid="{D9C83365-EF90-466C-809E-56FFBA57FE1F}" name="Volume " dataDxfId="66"/>
    <tableColumn id="2" xr3:uid="{E6337AE2-E37A-48AD-AA4D-7E9B83C652C5}" name="Revenue" dataDxfId="65" dataCellStyle="Currency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C6FFA3C-75A6-4E90-A7B4-76ACFBCFC674}" name="Table29" displayName="Table29" ref="AZ3:BA21" totalsRowShown="0" headerRowDxfId="64" headerRowBorderDxfId="63" tableBorderDxfId="62">
  <autoFilter ref="AZ3:BA21" xr:uid="{6C6FFA3C-75A6-4E90-A7B4-76ACFBCFC674}"/>
  <tableColumns count="2">
    <tableColumn id="1" xr3:uid="{654820CC-9BFC-4A8D-A3A5-4FC59E672FFD}" name="Volume " dataDxfId="61"/>
    <tableColumn id="2" xr3:uid="{DA2C0ACD-A41B-4E30-A205-12FE12FCAF95}" name="Revenue" dataDxfId="60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B44AE39-C9E3-4308-8064-18DD697F9392}" name="Table39" displayName="Table39" ref="L3:M21" totalsRowShown="0" headerRowDxfId="346" headerRowBorderDxfId="345" tableBorderDxfId="344">
  <autoFilter ref="L3:M21" xr:uid="{CB44AE39-C9E3-4308-8064-18DD697F9392}"/>
  <tableColumns count="2">
    <tableColumn id="1" xr3:uid="{DE9FE767-C4DE-494E-A619-0824AFC4584F}" name="Volume " dataDxfId="343"/>
    <tableColumn id="2" xr3:uid="{F04E4062-EE2B-4D18-8E75-A052C75B0232}" name="Revenue" dataDxfId="342" dataCellStyle="Currency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C8414D7-A67E-4443-B89E-8F6337EB40A2}" name="Table30" displayName="Table30" ref="BB3:BC21" totalsRowShown="0" headerRowDxfId="59" headerRowBorderDxfId="58" tableBorderDxfId="57">
  <autoFilter ref="BB3:BC21" xr:uid="{AC8414D7-A67E-4443-B89E-8F6337EB40A2}"/>
  <tableColumns count="2">
    <tableColumn id="1" xr3:uid="{0D493F64-C31A-4FFF-8EA8-6306B25BE437}" name="Volume " dataDxfId="56"/>
    <tableColumn id="2" xr3:uid="{98CE9830-2C6A-47B0-953F-29AE54F6169C}" name="Revenue" dataDxfId="55" dataCellStyle="Currency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A1BC4A2-EAC0-497B-A4E7-706F10A5C62F}" name="Table31" displayName="Table31" ref="BD3:BE21" totalsRowShown="0" headerRowDxfId="54" headerRowBorderDxfId="53" tableBorderDxfId="52">
  <autoFilter ref="BD3:BE21" xr:uid="{BA1BC4A2-EAC0-497B-A4E7-706F10A5C62F}"/>
  <tableColumns count="2">
    <tableColumn id="1" xr3:uid="{7CB7B776-A0A8-4C37-8CC8-EC36802FD8CE}" name="Volume " dataDxfId="51"/>
    <tableColumn id="2" xr3:uid="{60BD21D1-5D81-4A66-8E23-1CC2F8FDCBDA}" name="Revenue" dataDxfId="50" dataCellStyle="Currency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A132CBB-53CE-4D36-B95A-C3814E76953C}" name="Table32" displayName="Table32" ref="BF3:BG21" totalsRowShown="0" headerRowDxfId="49" headerRowBorderDxfId="48" tableBorderDxfId="47">
  <autoFilter ref="BF3:BG21" xr:uid="{BA132CBB-53CE-4D36-B95A-C3814E76953C}"/>
  <tableColumns count="2">
    <tableColumn id="1" xr3:uid="{EB3EF91E-5982-4EEB-8CB1-98AB7F824B84}" name="Volume " dataDxfId="46"/>
    <tableColumn id="2" xr3:uid="{2F07B421-D194-4868-A4F1-68036C8929F7}" name="Revenue" dataDxfId="45" dataCellStyle="Currency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38E302C-E0A7-4DFF-B1EA-CD66A422AF1B}" name="Table33" displayName="Table33" ref="BH3:BI21" totalsRowShown="0" headerRowDxfId="44" headerRowBorderDxfId="43" tableBorderDxfId="42">
  <autoFilter ref="BH3:BI21" xr:uid="{038E302C-E0A7-4DFF-B1EA-CD66A422AF1B}"/>
  <tableColumns count="2">
    <tableColumn id="1" xr3:uid="{F6BFE7DD-5C61-45DD-9854-3D97ABF7A67B}" name="Volume " dataDxfId="41"/>
    <tableColumn id="2" xr3:uid="{B8A3A1FF-B8A9-4469-AEF0-3279C5E66FC7}" name="Revenue" dataDxfId="40" dataCellStyle="Currency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98E7E4-FF8E-4C7B-B857-E012C8B085EF}" name="Table34" displayName="Table34" ref="BJ3:BK21" totalsRowShown="0" headerRowDxfId="39" headerRowBorderDxfId="38" tableBorderDxfId="37">
  <autoFilter ref="BJ3:BK21" xr:uid="{9498E7E4-FF8E-4C7B-B857-E012C8B085EF}"/>
  <tableColumns count="2">
    <tableColumn id="1" xr3:uid="{F478E033-E491-43BB-BA2D-DA7175E729D4}" name="Volume " dataDxfId="36"/>
    <tableColumn id="2" xr3:uid="{F9F4D8CC-5910-4C26-B951-2603DF6699D0}" name="Revenue" dataDxfId="35" dataCellStyle="Currency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59172B1-CF70-4DA6-BEB3-5040469FB2AF}" name="Table35" displayName="Table35" ref="BL3:BM21" totalsRowShown="0" dataDxfId="33" headerRowBorderDxfId="34" tableBorderDxfId="32">
  <autoFilter ref="BL3:BM21" xr:uid="{259172B1-CF70-4DA6-BEB3-5040469FB2AF}"/>
  <tableColumns count="2">
    <tableColumn id="1" xr3:uid="{AE9AC84A-1646-4DEF-A0F5-F62A19D2E6E9}" name="Volume " dataDxfId="31"/>
    <tableColumn id="2" xr3:uid="{615C2AA2-3AB6-4848-BE09-864BFC5193FE}" name="Revenue" dataDxfId="3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2D2A81F-F1BA-4650-8ADB-F7986CFB8B6E}" name="Table70" displayName="Table70" ref="A1:F237" totalsRowShown="0" headerRowDxfId="29" dataDxfId="28">
  <autoFilter ref="A1:F237" xr:uid="{02D2A81F-F1BA-4650-8ADB-F7986CFB8B6E}"/>
  <tableColumns count="6">
    <tableColumn id="1" xr3:uid="{F9ABB02C-8F0A-4B03-AAC7-EC976B6D5FF4}" name="Date" dataDxfId="27"/>
    <tableColumn id="2" xr3:uid="{93F920BD-346A-4873-9C8C-12A70887C912}" name="Day" dataDxfId="26"/>
    <tableColumn id="3" xr3:uid="{C2C63A8A-B689-4FB1-A1D0-111A28DA9558}" name="Week" dataDxfId="25"/>
    <tableColumn id="4" xr3:uid="{FC24DFE1-121B-46A2-9FE4-DB4994DBE1B0}" name="Item" dataDxfId="24"/>
    <tableColumn id="5" xr3:uid="{AC6BA4C2-E902-4844-8601-BBEBF1F95235}" name="Volume" dataDxfId="23"/>
    <tableColumn id="6" xr3:uid="{F0830A60-E730-4475-B901-6D95D7EB7300}" name="Sales" dataDxfId="22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969AD34-D760-479F-81E4-C033E23B7186}" name="Table40" displayName="Table40" ref="N3:O21" totalsRowShown="0" headerRowDxfId="341" headerRowBorderDxfId="340" tableBorderDxfId="339">
  <autoFilter ref="N3:O21" xr:uid="{D969AD34-D760-479F-81E4-C033E23B7186}"/>
  <tableColumns count="2">
    <tableColumn id="1" xr3:uid="{6B618D52-125C-4FAC-98BC-5BE1143E92E2}" name="Volume " dataDxfId="338"/>
    <tableColumn id="2" xr3:uid="{9C91F73D-CB2F-4AA1-BBB4-2C23977DDB03}" name="Revenue" dataDxfId="337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D82FCF0-6B0D-4E36-A428-1D883AF4A5F4}" name="Table41" displayName="Table41" ref="P3:Q21" totalsRowShown="0" headerRowDxfId="336" headerRowBorderDxfId="335" tableBorderDxfId="334">
  <autoFilter ref="P3:Q21" xr:uid="{2D82FCF0-6B0D-4E36-A428-1D883AF4A5F4}"/>
  <tableColumns count="2">
    <tableColumn id="1" xr3:uid="{D255BDD0-E202-4EBF-869A-EB6F5FCED0C7}" name="Volume " dataDxfId="333"/>
    <tableColumn id="2" xr3:uid="{20AA334E-2F89-459D-823F-3C4B5B7D2DFE}" name="Revenue" dataDxfId="332" data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468687E-0B28-428A-AF92-A03F28A568CC}" name="Table42" displayName="Table42" ref="R3:S21" totalsRowShown="0" headerRowDxfId="331" headerRowBorderDxfId="330" tableBorderDxfId="329">
  <autoFilter ref="R3:S21" xr:uid="{E468687E-0B28-428A-AF92-A03F28A568CC}"/>
  <tableColumns count="2">
    <tableColumn id="1" xr3:uid="{9EEF04DD-4B37-45C2-B214-6BFCE19E60D5}" name="Volume " dataDxfId="328"/>
    <tableColumn id="2" xr3:uid="{FFDA5488-20D8-408E-838D-72258F7E22C5}" name="Revenue" dataDxfId="327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1.xml"/><Relationship Id="rId13" Type="http://schemas.openxmlformats.org/officeDocument/2006/relationships/table" Target="../tables/table46.xml"/><Relationship Id="rId18" Type="http://schemas.openxmlformats.org/officeDocument/2006/relationships/table" Target="../tables/table51.xml"/><Relationship Id="rId26" Type="http://schemas.openxmlformats.org/officeDocument/2006/relationships/table" Target="../tables/table59.xml"/><Relationship Id="rId3" Type="http://schemas.openxmlformats.org/officeDocument/2006/relationships/table" Target="../tables/table36.xml"/><Relationship Id="rId21" Type="http://schemas.openxmlformats.org/officeDocument/2006/relationships/table" Target="../tables/table54.xml"/><Relationship Id="rId7" Type="http://schemas.openxmlformats.org/officeDocument/2006/relationships/table" Target="../tables/table40.xml"/><Relationship Id="rId12" Type="http://schemas.openxmlformats.org/officeDocument/2006/relationships/table" Target="../tables/table45.xml"/><Relationship Id="rId17" Type="http://schemas.openxmlformats.org/officeDocument/2006/relationships/table" Target="../tables/table50.xml"/><Relationship Id="rId25" Type="http://schemas.openxmlformats.org/officeDocument/2006/relationships/table" Target="../tables/table58.xml"/><Relationship Id="rId2" Type="http://schemas.openxmlformats.org/officeDocument/2006/relationships/table" Target="../tables/table35.xml"/><Relationship Id="rId16" Type="http://schemas.openxmlformats.org/officeDocument/2006/relationships/table" Target="../tables/table49.xml"/><Relationship Id="rId20" Type="http://schemas.openxmlformats.org/officeDocument/2006/relationships/table" Target="../tables/table53.xml"/><Relationship Id="rId29" Type="http://schemas.openxmlformats.org/officeDocument/2006/relationships/table" Target="../tables/table62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11" Type="http://schemas.openxmlformats.org/officeDocument/2006/relationships/table" Target="../tables/table44.xml"/><Relationship Id="rId24" Type="http://schemas.openxmlformats.org/officeDocument/2006/relationships/table" Target="../tables/table57.xml"/><Relationship Id="rId32" Type="http://schemas.openxmlformats.org/officeDocument/2006/relationships/table" Target="../tables/table65.xml"/><Relationship Id="rId5" Type="http://schemas.openxmlformats.org/officeDocument/2006/relationships/table" Target="../tables/table38.xml"/><Relationship Id="rId15" Type="http://schemas.openxmlformats.org/officeDocument/2006/relationships/table" Target="../tables/table48.xml"/><Relationship Id="rId23" Type="http://schemas.openxmlformats.org/officeDocument/2006/relationships/table" Target="../tables/table56.xml"/><Relationship Id="rId28" Type="http://schemas.openxmlformats.org/officeDocument/2006/relationships/table" Target="../tables/table61.xml"/><Relationship Id="rId10" Type="http://schemas.openxmlformats.org/officeDocument/2006/relationships/table" Target="../tables/table43.xml"/><Relationship Id="rId19" Type="http://schemas.openxmlformats.org/officeDocument/2006/relationships/table" Target="../tables/table52.xml"/><Relationship Id="rId31" Type="http://schemas.openxmlformats.org/officeDocument/2006/relationships/table" Target="../tables/table64.xml"/><Relationship Id="rId4" Type="http://schemas.openxmlformats.org/officeDocument/2006/relationships/table" Target="../tables/table37.xml"/><Relationship Id="rId9" Type="http://schemas.openxmlformats.org/officeDocument/2006/relationships/table" Target="../tables/table42.xml"/><Relationship Id="rId14" Type="http://schemas.openxmlformats.org/officeDocument/2006/relationships/table" Target="../tables/table47.xml"/><Relationship Id="rId22" Type="http://schemas.openxmlformats.org/officeDocument/2006/relationships/table" Target="../tables/table55.xml"/><Relationship Id="rId27" Type="http://schemas.openxmlformats.org/officeDocument/2006/relationships/table" Target="../tables/table60.xml"/><Relationship Id="rId30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5A45-86FC-4112-B0C7-1F045F7DD26E}">
  <dimension ref="A1:BS21"/>
  <sheetViews>
    <sheetView zoomScaleNormal="100" workbookViewId="0">
      <selection activeCell="B7" sqref="B7"/>
    </sheetView>
  </sheetViews>
  <sheetFormatPr defaultColWidth="8.7421875" defaultRowHeight="15" x14ac:dyDescent="0.2"/>
  <cols>
    <col min="1" max="1" width="13.31640625" style="2" bestFit="1" customWidth="1"/>
    <col min="2" max="2" width="9.68359375" style="1" customWidth="1"/>
    <col min="3" max="3" width="10.89453125" style="3" customWidth="1"/>
    <col min="4" max="4" width="9.68359375" style="1" customWidth="1"/>
    <col min="5" max="5" width="10.89453125" style="3" customWidth="1"/>
    <col min="6" max="6" width="9.953125" style="1" customWidth="1"/>
    <col min="7" max="7" width="11.43359375" style="3" customWidth="1"/>
    <col min="8" max="8" width="9.953125" style="1" customWidth="1"/>
    <col min="9" max="9" width="10.35546875" style="2" customWidth="1"/>
    <col min="10" max="10" width="9.953125" style="1" customWidth="1"/>
    <col min="11" max="11" width="11.43359375" style="3" customWidth="1"/>
    <col min="12" max="12" width="9.953125" style="1" customWidth="1"/>
    <col min="13" max="13" width="11.43359375" style="3" customWidth="1"/>
    <col min="14" max="14" width="9.953125" style="1" customWidth="1"/>
    <col min="15" max="15" width="11.43359375" style="3" customWidth="1"/>
    <col min="16" max="16" width="9.953125" style="1" customWidth="1"/>
    <col min="17" max="17" width="11.43359375" style="3" customWidth="1"/>
    <col min="18" max="18" width="9.953125" style="1" customWidth="1"/>
    <col min="19" max="19" width="11.43359375" style="3" customWidth="1"/>
    <col min="20" max="20" width="12.375" style="1" bestFit="1" customWidth="1"/>
    <col min="21" max="21" width="11.43359375" style="3" customWidth="1"/>
    <col min="22" max="22" width="9.953125" style="1" customWidth="1"/>
    <col min="23" max="23" width="11.43359375" style="3" customWidth="1"/>
    <col min="24" max="24" width="9.953125" style="1" customWidth="1"/>
    <col min="25" max="25" width="11.43359375" style="3" customWidth="1"/>
    <col min="26" max="26" width="9.953125" style="1" customWidth="1"/>
    <col min="27" max="27" width="11.43359375" style="3" customWidth="1"/>
    <col min="28" max="28" width="9.953125" style="1" customWidth="1"/>
    <col min="29" max="29" width="11.43359375" style="3" customWidth="1"/>
    <col min="30" max="30" width="9.953125" style="1" customWidth="1"/>
    <col min="31" max="31" width="11.43359375" style="3" customWidth="1"/>
    <col min="32" max="32" width="9.953125" style="1" customWidth="1"/>
    <col min="33" max="33" width="11.43359375" style="3" customWidth="1"/>
    <col min="34" max="34" width="9.953125" style="1" customWidth="1"/>
    <col min="35" max="35" width="11.43359375" style="3" customWidth="1"/>
    <col min="36" max="36" width="9.953125" style="1" customWidth="1"/>
    <col min="37" max="37" width="11.43359375" style="3" customWidth="1"/>
    <col min="38" max="38" width="9.953125" style="1" customWidth="1"/>
    <col min="39" max="39" width="11.43359375" style="3" customWidth="1"/>
    <col min="40" max="40" width="9.953125" style="1" customWidth="1"/>
    <col min="41" max="41" width="11.43359375" style="3" customWidth="1"/>
    <col min="42" max="42" width="9.953125" style="1" customWidth="1"/>
    <col min="43" max="43" width="11.43359375" style="3" customWidth="1"/>
    <col min="44" max="44" width="9.953125" style="1" customWidth="1"/>
    <col min="45" max="45" width="11.43359375" style="3" customWidth="1"/>
    <col min="46" max="46" width="9.953125" style="1" customWidth="1"/>
    <col min="47" max="47" width="11.43359375" style="3" customWidth="1"/>
    <col min="48" max="48" width="9.953125" style="1" customWidth="1"/>
    <col min="49" max="49" width="11.43359375" style="3" customWidth="1"/>
    <col min="50" max="50" width="9.953125" style="1" customWidth="1"/>
    <col min="51" max="51" width="11.43359375" style="3" customWidth="1"/>
    <col min="52" max="52" width="9.953125" style="1" customWidth="1"/>
    <col min="53" max="53" width="11.43359375" style="3" customWidth="1"/>
    <col min="54" max="54" width="9.953125" style="1" customWidth="1"/>
    <col min="55" max="55" width="11.43359375" style="3" customWidth="1"/>
    <col min="56" max="56" width="9.953125" style="1" customWidth="1"/>
    <col min="57" max="57" width="11.43359375" style="3" customWidth="1"/>
    <col min="58" max="58" width="9.953125" style="1" customWidth="1"/>
    <col min="59" max="59" width="11.43359375" style="3" customWidth="1"/>
    <col min="60" max="60" width="9.953125" style="1" customWidth="1"/>
    <col min="61" max="61" width="11.43359375" style="3" customWidth="1"/>
    <col min="62" max="62" width="9.953125" style="1" customWidth="1"/>
    <col min="63" max="63" width="11.1640625" style="3" customWidth="1"/>
    <col min="64" max="64" width="12.77734375" style="11" bestFit="1" customWidth="1"/>
    <col min="65" max="65" width="11.43359375" style="7" bestFit="1" customWidth="1"/>
    <col min="66" max="66" width="7.6640625" style="1" bestFit="1" customWidth="1"/>
    <col min="67" max="67" width="11.43359375" style="1" bestFit="1" customWidth="1"/>
    <col min="68" max="68" width="7.6640625" style="1" bestFit="1" customWidth="1"/>
    <col min="69" max="69" width="7.93359375" style="1" bestFit="1" customWidth="1"/>
    <col min="70" max="16384" width="8.7421875" style="1"/>
  </cols>
  <sheetData>
    <row r="1" spans="1:71" s="4" customFormat="1" x14ac:dyDescent="0.2">
      <c r="A1" s="65" t="s">
        <v>8</v>
      </c>
      <c r="B1" s="67" t="s">
        <v>20</v>
      </c>
      <c r="C1" s="68"/>
      <c r="D1" s="67" t="s">
        <v>21</v>
      </c>
      <c r="E1" s="68"/>
      <c r="F1" s="67" t="s">
        <v>22</v>
      </c>
      <c r="G1" s="68"/>
      <c r="H1" s="67" t="s">
        <v>23</v>
      </c>
      <c r="I1" s="68"/>
      <c r="J1" s="67" t="s">
        <v>24</v>
      </c>
      <c r="K1" s="68"/>
      <c r="L1" s="67" t="s">
        <v>25</v>
      </c>
      <c r="M1" s="68"/>
      <c r="N1" s="67" t="s">
        <v>26</v>
      </c>
      <c r="O1" s="68"/>
      <c r="P1" s="67" t="s">
        <v>20</v>
      </c>
      <c r="Q1" s="68"/>
      <c r="R1" s="67" t="s">
        <v>21</v>
      </c>
      <c r="S1" s="68"/>
      <c r="T1" s="67" t="s">
        <v>22</v>
      </c>
      <c r="U1" s="68"/>
      <c r="V1" s="67" t="s">
        <v>23</v>
      </c>
      <c r="W1" s="68"/>
      <c r="X1" s="67" t="s">
        <v>24</v>
      </c>
      <c r="Y1" s="68"/>
      <c r="Z1" s="67" t="s">
        <v>25</v>
      </c>
      <c r="AA1" s="68"/>
      <c r="AB1" s="67" t="s">
        <v>26</v>
      </c>
      <c r="AC1" s="68"/>
      <c r="AD1" s="67" t="s">
        <v>20</v>
      </c>
      <c r="AE1" s="68"/>
      <c r="AF1" s="67" t="s">
        <v>21</v>
      </c>
      <c r="AG1" s="68"/>
      <c r="AH1" s="67" t="s">
        <v>22</v>
      </c>
      <c r="AI1" s="68"/>
      <c r="AJ1" s="67" t="s">
        <v>23</v>
      </c>
      <c r="AK1" s="68"/>
      <c r="AL1" s="67" t="s">
        <v>24</v>
      </c>
      <c r="AM1" s="68"/>
      <c r="AN1" s="67" t="s">
        <v>25</v>
      </c>
      <c r="AO1" s="68"/>
      <c r="AP1" s="67" t="s">
        <v>26</v>
      </c>
      <c r="AQ1" s="68"/>
      <c r="AR1" s="67" t="s">
        <v>20</v>
      </c>
      <c r="AS1" s="68"/>
      <c r="AT1" s="67" t="s">
        <v>21</v>
      </c>
      <c r="AU1" s="68"/>
      <c r="AV1" s="67" t="s">
        <v>22</v>
      </c>
      <c r="AW1" s="68"/>
      <c r="AX1" s="67" t="s">
        <v>23</v>
      </c>
      <c r="AY1" s="68"/>
      <c r="AZ1" s="67" t="s">
        <v>24</v>
      </c>
      <c r="BA1" s="68"/>
      <c r="BB1" s="67" t="s">
        <v>25</v>
      </c>
      <c r="BC1" s="68"/>
      <c r="BD1" s="67" t="s">
        <v>26</v>
      </c>
      <c r="BE1" s="68"/>
      <c r="BF1" s="67" t="s">
        <v>20</v>
      </c>
      <c r="BG1" s="68"/>
      <c r="BH1" s="67" t="s">
        <v>21</v>
      </c>
      <c r="BI1" s="68"/>
      <c r="BJ1" s="67" t="s">
        <v>22</v>
      </c>
      <c r="BK1" s="68"/>
      <c r="BL1" s="67" t="s">
        <v>27</v>
      </c>
      <c r="BM1" s="72"/>
    </row>
    <row r="2" spans="1:71" s="5" customFormat="1" x14ac:dyDescent="0.2">
      <c r="A2" s="65"/>
      <c r="B2" s="70">
        <f>DATE(2020,5,1)</f>
        <v>43952</v>
      </c>
      <c r="C2" s="71"/>
      <c r="D2" s="70">
        <f>B2+1</f>
        <v>43953</v>
      </c>
      <c r="E2" s="71"/>
      <c r="F2" s="70">
        <f>D2+1</f>
        <v>43954</v>
      </c>
      <c r="G2" s="71"/>
      <c r="H2" s="70">
        <f>F2+1</f>
        <v>43955</v>
      </c>
      <c r="I2" s="71"/>
      <c r="J2" s="70">
        <f t="shared" ref="J2" si="0">H2+1</f>
        <v>43956</v>
      </c>
      <c r="K2" s="71"/>
      <c r="L2" s="70">
        <f t="shared" ref="L2" si="1">J2+1</f>
        <v>43957</v>
      </c>
      <c r="M2" s="71"/>
      <c r="N2" s="70">
        <f t="shared" ref="N2" si="2">L2+1</f>
        <v>43958</v>
      </c>
      <c r="O2" s="71"/>
      <c r="P2" s="70">
        <f t="shared" ref="P2" si="3">N2+1</f>
        <v>43959</v>
      </c>
      <c r="Q2" s="71"/>
      <c r="R2" s="70">
        <f t="shared" ref="R2" si="4">P2+1</f>
        <v>43960</v>
      </c>
      <c r="S2" s="71"/>
      <c r="T2" s="70">
        <f t="shared" ref="T2" si="5">R2+1</f>
        <v>43961</v>
      </c>
      <c r="U2" s="71"/>
      <c r="V2" s="70">
        <f t="shared" ref="V2" si="6">T2+1</f>
        <v>43962</v>
      </c>
      <c r="W2" s="71"/>
      <c r="X2" s="70">
        <f t="shared" ref="X2" si="7">V2+1</f>
        <v>43963</v>
      </c>
      <c r="Y2" s="71"/>
      <c r="Z2" s="70">
        <f t="shared" ref="Z2" si="8">X2+1</f>
        <v>43964</v>
      </c>
      <c r="AA2" s="71"/>
      <c r="AB2" s="70">
        <f t="shared" ref="AB2" si="9">Z2+1</f>
        <v>43965</v>
      </c>
      <c r="AC2" s="71"/>
      <c r="AD2" s="70">
        <f t="shared" ref="AD2" si="10">AB2+1</f>
        <v>43966</v>
      </c>
      <c r="AE2" s="71"/>
      <c r="AF2" s="70">
        <f t="shared" ref="AF2" si="11">AD2+1</f>
        <v>43967</v>
      </c>
      <c r="AG2" s="71"/>
      <c r="AH2" s="70">
        <f t="shared" ref="AH2" si="12">AF2+1</f>
        <v>43968</v>
      </c>
      <c r="AI2" s="71"/>
      <c r="AJ2" s="70">
        <f t="shared" ref="AJ2" si="13">AH2+1</f>
        <v>43969</v>
      </c>
      <c r="AK2" s="71"/>
      <c r="AL2" s="70">
        <f t="shared" ref="AL2" si="14">AJ2+1</f>
        <v>43970</v>
      </c>
      <c r="AM2" s="71"/>
      <c r="AN2" s="70">
        <f t="shared" ref="AN2" si="15">AL2+1</f>
        <v>43971</v>
      </c>
      <c r="AO2" s="71"/>
      <c r="AP2" s="70">
        <f t="shared" ref="AP2" si="16">AN2+1</f>
        <v>43972</v>
      </c>
      <c r="AQ2" s="71"/>
      <c r="AR2" s="70">
        <f t="shared" ref="AR2" si="17">AP2+1</f>
        <v>43973</v>
      </c>
      <c r="AS2" s="71"/>
      <c r="AT2" s="70">
        <f t="shared" ref="AT2" si="18">AR2+1</f>
        <v>43974</v>
      </c>
      <c r="AU2" s="71"/>
      <c r="AV2" s="70">
        <f t="shared" ref="AV2" si="19">AT2+1</f>
        <v>43975</v>
      </c>
      <c r="AW2" s="71"/>
      <c r="AX2" s="70">
        <f t="shared" ref="AX2" si="20">AV2+1</f>
        <v>43976</v>
      </c>
      <c r="AY2" s="71"/>
      <c r="AZ2" s="70">
        <f t="shared" ref="AZ2" si="21">AX2+1</f>
        <v>43977</v>
      </c>
      <c r="BA2" s="71"/>
      <c r="BB2" s="70">
        <f t="shared" ref="BB2" si="22">AZ2+1</f>
        <v>43978</v>
      </c>
      <c r="BC2" s="71"/>
      <c r="BD2" s="70">
        <f t="shared" ref="BD2" si="23">BB2+1</f>
        <v>43979</v>
      </c>
      <c r="BE2" s="71"/>
      <c r="BF2" s="70">
        <f t="shared" ref="BF2" si="24">BD2+1</f>
        <v>43980</v>
      </c>
      <c r="BG2" s="71"/>
      <c r="BH2" s="70">
        <f t="shared" ref="BH2" si="25">BF2+1</f>
        <v>43981</v>
      </c>
      <c r="BI2" s="71"/>
      <c r="BJ2" s="70">
        <f t="shared" ref="BJ2" si="26">BH2+1</f>
        <v>43982</v>
      </c>
      <c r="BK2" s="71"/>
      <c r="BL2" s="67"/>
      <c r="BM2" s="72"/>
      <c r="BN2" s="69"/>
      <c r="BO2" s="69"/>
      <c r="BP2" s="69"/>
      <c r="BQ2" s="69"/>
      <c r="BR2" s="69"/>
      <c r="BS2" s="69"/>
    </row>
    <row r="3" spans="1:71" s="61" customFormat="1" x14ac:dyDescent="0.2">
      <c r="A3" s="66"/>
      <c r="B3" s="6" t="s">
        <v>9</v>
      </c>
      <c r="C3" s="16" t="s">
        <v>10</v>
      </c>
      <c r="D3" s="6" t="s">
        <v>9</v>
      </c>
      <c r="E3" s="16" t="s">
        <v>10</v>
      </c>
      <c r="F3" s="6" t="s">
        <v>9</v>
      </c>
      <c r="G3" s="16" t="s">
        <v>10</v>
      </c>
      <c r="H3" s="6" t="s">
        <v>9</v>
      </c>
      <c r="I3" s="6" t="s">
        <v>10</v>
      </c>
      <c r="J3" s="6" t="s">
        <v>9</v>
      </c>
      <c r="K3" s="16" t="s">
        <v>10</v>
      </c>
      <c r="L3" s="6" t="s">
        <v>9</v>
      </c>
      <c r="M3" s="16" t="s">
        <v>10</v>
      </c>
      <c r="N3" s="6" t="s">
        <v>9</v>
      </c>
      <c r="O3" s="16" t="s">
        <v>10</v>
      </c>
      <c r="P3" s="6" t="s">
        <v>9</v>
      </c>
      <c r="Q3" s="16" t="s">
        <v>10</v>
      </c>
      <c r="R3" s="6" t="s">
        <v>9</v>
      </c>
      <c r="S3" s="16" t="s">
        <v>10</v>
      </c>
      <c r="T3" s="6" t="s">
        <v>9</v>
      </c>
      <c r="U3" s="16" t="s">
        <v>10</v>
      </c>
      <c r="V3" s="6" t="s">
        <v>9</v>
      </c>
      <c r="W3" s="16" t="s">
        <v>10</v>
      </c>
      <c r="X3" s="6" t="s">
        <v>9</v>
      </c>
      <c r="Y3" s="16" t="s">
        <v>10</v>
      </c>
      <c r="Z3" s="6" t="s">
        <v>9</v>
      </c>
      <c r="AA3" s="16" t="s">
        <v>10</v>
      </c>
      <c r="AB3" s="6" t="s">
        <v>9</v>
      </c>
      <c r="AC3" s="16" t="s">
        <v>10</v>
      </c>
      <c r="AD3" s="6" t="s">
        <v>9</v>
      </c>
      <c r="AE3" s="16" t="s">
        <v>10</v>
      </c>
      <c r="AF3" s="6" t="s">
        <v>9</v>
      </c>
      <c r="AG3" s="16" t="s">
        <v>10</v>
      </c>
      <c r="AH3" s="6" t="s">
        <v>9</v>
      </c>
      <c r="AI3" s="16" t="s">
        <v>10</v>
      </c>
      <c r="AJ3" s="6" t="s">
        <v>9</v>
      </c>
      <c r="AK3" s="16" t="s">
        <v>10</v>
      </c>
      <c r="AL3" s="6" t="s">
        <v>9</v>
      </c>
      <c r="AM3" s="16" t="s">
        <v>10</v>
      </c>
      <c r="AN3" s="6" t="s">
        <v>9</v>
      </c>
      <c r="AO3" s="16" t="s">
        <v>10</v>
      </c>
      <c r="AP3" s="6" t="s">
        <v>9</v>
      </c>
      <c r="AQ3" s="16" t="s">
        <v>10</v>
      </c>
      <c r="AR3" s="6" t="s">
        <v>9</v>
      </c>
      <c r="AS3" s="16" t="s">
        <v>10</v>
      </c>
      <c r="AT3" s="6" t="s">
        <v>9</v>
      </c>
      <c r="AU3" s="16" t="s">
        <v>10</v>
      </c>
      <c r="AV3" s="6" t="s">
        <v>9</v>
      </c>
      <c r="AW3" s="16" t="s">
        <v>10</v>
      </c>
      <c r="AX3" s="6" t="s">
        <v>9</v>
      </c>
      <c r="AY3" s="16" t="s">
        <v>10</v>
      </c>
      <c r="AZ3" s="6" t="s">
        <v>9</v>
      </c>
      <c r="BA3" s="16" t="s">
        <v>10</v>
      </c>
      <c r="BB3" s="6" t="s">
        <v>9</v>
      </c>
      <c r="BC3" s="16" t="s">
        <v>10</v>
      </c>
      <c r="BD3" s="6" t="s">
        <v>9</v>
      </c>
      <c r="BE3" s="16" t="s">
        <v>10</v>
      </c>
      <c r="BF3" s="6" t="s">
        <v>9</v>
      </c>
      <c r="BG3" s="16" t="s">
        <v>10</v>
      </c>
      <c r="BH3" s="6" t="s">
        <v>9</v>
      </c>
      <c r="BI3" s="16" t="s">
        <v>10</v>
      </c>
      <c r="BJ3" s="6" t="s">
        <v>9</v>
      </c>
      <c r="BK3" s="6" t="s">
        <v>28</v>
      </c>
      <c r="BL3" s="18" t="s">
        <v>9</v>
      </c>
      <c r="BM3" s="16" t="s">
        <v>10</v>
      </c>
    </row>
    <row r="4" spans="1:71" x14ac:dyDescent="0.2">
      <c r="A4" s="13" t="s">
        <v>5</v>
      </c>
      <c r="B4" s="1" t="str">
        <f>IFERROR(VLOOKUP($A4,[1]!Table1[#All],2,0),"-")</f>
        <v>-</v>
      </c>
      <c r="C4" s="14" t="str">
        <f>IFERROR(VLOOKUP($A4,[1]!Table1[#All],3,0),"-")</f>
        <v>-</v>
      </c>
      <c r="D4" s="1" t="str">
        <f>IFERROR(VLOOKUP($A4,[2]!Table2[#All],2,0),"-")</f>
        <v>-</v>
      </c>
      <c r="E4" s="14" t="str">
        <f>IFERROR(VLOOKUP($A4,[2]!Table2[#All],3,0),"-")</f>
        <v>-</v>
      </c>
      <c r="F4" s="1" t="str">
        <f>IFERROR(VLOOKUP($A4,[3]!Table1[#All],2,0),"-")</f>
        <v>-</v>
      </c>
      <c r="G4" s="14" t="str">
        <f>IFERROR(VLOOKUP($A4,[3]!Table1[#All],3,0),"-")</f>
        <v>-</v>
      </c>
      <c r="H4" s="1" t="str">
        <f>IFERROR(VLOOKUP($A4,[4]Sheet1!$I$9,3,0),"-")</f>
        <v>-</v>
      </c>
      <c r="I4" s="13" t="str">
        <f>IFERROR(VLOOKUP($A4,[4]Sheet1!$I$9,2,0),"-")</f>
        <v>-</v>
      </c>
      <c r="J4" s="1" t="str">
        <f>IFERROR(VLOOKUP($A4,[5]!Table1[#All],2,0),"-")</f>
        <v>-</v>
      </c>
      <c r="K4" s="14" t="str">
        <f>IFERROR(VLOOKUP($A4,[5]!Table1[#All],3,0),"-")</f>
        <v>-</v>
      </c>
      <c r="L4" s="1" t="str">
        <f>IFERROR(VLOOKUP($A4,[6]!Table1[#All],2,0),"-")</f>
        <v>-</v>
      </c>
      <c r="M4" s="14" t="str">
        <f>IFERROR(VLOOKUP($A4,[6]!Table1[#All],3,0),"-")</f>
        <v>-</v>
      </c>
      <c r="N4" s="1" t="str">
        <f>IFERROR(VLOOKUP($A4,[7]!Table1[#All],2,0),"-")</f>
        <v>-</v>
      </c>
      <c r="O4" s="14" t="str">
        <f>IFERROR(VLOOKUP($A4,[7]!Table1[#All],3,0),"-")</f>
        <v>-</v>
      </c>
      <c r="P4" s="1" t="str">
        <f>IFERROR(VLOOKUP($A4,[8]!Table1[#All],2,0),"-")</f>
        <v>-</v>
      </c>
      <c r="Q4" s="14" t="str">
        <f>IFERROR(VLOOKUP($A4,[8]!Table1[#All],3,0),"-")</f>
        <v>-</v>
      </c>
      <c r="R4" s="1" t="str">
        <f>IFERROR(VLOOKUP($A4,[9]!Table1[#All],2,0),"-")</f>
        <v>-</v>
      </c>
      <c r="S4" s="14" t="str">
        <f>IFERROR(VLOOKUP($A4,[9]!Table1[#All],3,0),"-")</f>
        <v>-</v>
      </c>
      <c r="T4" s="1" t="str">
        <f>IFERROR(VLOOKUP($A4,[10]!Table1[#All],3,0),"-")</f>
        <v>-</v>
      </c>
      <c r="U4" s="14" t="str">
        <f>IFERROR(VLOOKUP($A4,[10]!Table1[#All],2,0),"-")</f>
        <v>-</v>
      </c>
      <c r="V4" s="1" t="str">
        <f>IFERROR(VLOOKUP($A4,[11]!Table1[#All],2,0),"-")</f>
        <v>-</v>
      </c>
      <c r="W4" s="14" t="str">
        <f>IFERROR(VLOOKUP($A4,[11]!Table1[#All],3,0),"-")</f>
        <v>-</v>
      </c>
      <c r="X4" s="1" t="str">
        <f>IFERROR(VLOOKUP($A4,[12]!Table1[#All],2,0),"-")</f>
        <v>-</v>
      </c>
      <c r="Y4" s="14" t="str">
        <f>IFERROR(VLOOKUP($A4,[12]!Table1[#All],3,0),"-")</f>
        <v>-</v>
      </c>
      <c r="Z4" s="1" t="str">
        <f>IFERROR(VLOOKUP($A4,[13]!Table1[#All],2,0),"-")</f>
        <v>-</v>
      </c>
      <c r="AA4" s="14" t="str">
        <f>IFERROR(VLOOKUP($A4,[13]!Table1[#All],3,0),"-")</f>
        <v>-</v>
      </c>
      <c r="AB4" s="1" t="str">
        <f>IFERROR(VLOOKUP($A4,[14]!Table1[#All],2,0),"-")</f>
        <v>-</v>
      </c>
      <c r="AC4" s="14" t="str">
        <f>IFERROR(VLOOKUP($A4,[14]!Table1[#All],3,0),"-")</f>
        <v>-</v>
      </c>
      <c r="AD4" s="1" t="str">
        <f>IFERROR(VLOOKUP($A4,[15]!Table1[#All],2,0),"-")</f>
        <v>-</v>
      </c>
      <c r="AE4" s="14" t="str">
        <f>IFERROR(VLOOKUP($A4,[15]!Table1[#All],3,0),"-")</f>
        <v>-</v>
      </c>
      <c r="AF4" s="1" t="str">
        <f>IFERROR(VLOOKUP($A4,[16]!Table2[#All],2,0),"-")</f>
        <v>-</v>
      </c>
      <c r="AG4" s="14" t="str">
        <f>IFERROR(VLOOKUP($A4,[16]!Table2[#All],3,0),"-")</f>
        <v>-</v>
      </c>
      <c r="AH4" s="1" t="str">
        <f>IFERROR(VLOOKUP($A4,[17]!Table1[#All],2,0),"-")</f>
        <v>-</v>
      </c>
      <c r="AI4" s="14" t="str">
        <f>IFERROR(VLOOKUP($A4,[17]!Table1[#All],3,0),"-")</f>
        <v>-</v>
      </c>
      <c r="AJ4" s="1" t="str">
        <f>IFERROR(VLOOKUP($A4,[18]!Table1[#All],2,0),"-")</f>
        <v>-</v>
      </c>
      <c r="AK4" s="14" t="str">
        <f>IFERROR(VLOOKUP($A4,[18]!Table1[#All],3,0),"-")</f>
        <v>-</v>
      </c>
      <c r="AL4" s="1" t="str">
        <f>IFERROR(VLOOKUP($A4,[19]!Table1[#All],2,0),"-")</f>
        <v>-</v>
      </c>
      <c r="AM4" s="14" t="str">
        <f>IFERROR(VLOOKUP($A4,[19]!Table1[#All],3,0),"-")</f>
        <v>-</v>
      </c>
      <c r="AN4" s="1" t="str">
        <f>IFERROR(VLOOKUP($A4,[20]!Table1[#All],2,0),"-")</f>
        <v>-</v>
      </c>
      <c r="AO4" s="14" t="str">
        <f>IFERROR(VLOOKUP($A4,[20]!Table1[#All],3,0),"-")</f>
        <v>-</v>
      </c>
      <c r="AP4" s="1" t="str">
        <f>IFERROR(VLOOKUP($A4,[21]!Table2[#All],2,0),"-")</f>
        <v>-</v>
      </c>
      <c r="AQ4" s="14" t="str">
        <f>IFERROR(VLOOKUP($A4,[21]!Table2[#All],3,0),"-")</f>
        <v>-</v>
      </c>
      <c r="AR4" s="1" t="str">
        <f>IFERROR(VLOOKUP($A4,[22]!Table1[#All],2,0),"-")</f>
        <v>-</v>
      </c>
      <c r="AS4" s="14" t="str">
        <f>IFERROR(VLOOKUP($A4,[22]!Table1[#All],3,0),"-")</f>
        <v>-</v>
      </c>
      <c r="AT4" s="1" t="str">
        <f>IFERROR(VLOOKUP($A4,[23]!Table1[#All],2,0),"-")</f>
        <v>-</v>
      </c>
      <c r="AU4" s="14" t="str">
        <f>IFERROR(VLOOKUP($A4,[23]!Table1[#All],3,0),"-")</f>
        <v>-</v>
      </c>
      <c r="AV4" s="1" t="str">
        <f>IFERROR(VLOOKUP($A4,[24]!Table1[#All],2,0),"-")</f>
        <v>-</v>
      </c>
      <c r="AW4" s="14" t="str">
        <f>IFERROR(VLOOKUP($A4,[24]!Table1[#All],3,0),"-")</f>
        <v>-</v>
      </c>
      <c r="AX4" s="1" t="str">
        <f>IFERROR(VLOOKUP($A4,[25]!Table1[#All],2,0),"-")</f>
        <v>-</v>
      </c>
      <c r="AY4" s="14" t="str">
        <f>IFERROR(VLOOKUP($A4,[25]!Table1[#All],3,0),"-")</f>
        <v>-</v>
      </c>
      <c r="AZ4" s="1" t="str">
        <f>IFERROR(VLOOKUP($A4,[26]!Table2[#All],2,0),"-")</f>
        <v>-</v>
      </c>
      <c r="BA4" s="14" t="str">
        <f>IFERROR(VLOOKUP($A4,[26]!Table2[#All],3,0),"-")</f>
        <v>-</v>
      </c>
      <c r="BB4" s="1" t="str">
        <f>IFERROR(VLOOKUP($A4,[27]!Table1[#All],2,0),"-")</f>
        <v>-</v>
      </c>
      <c r="BC4" s="14" t="str">
        <f>IFERROR(VLOOKUP($A4,[27]!Table1[#All],3,0),"-")</f>
        <v>-</v>
      </c>
      <c r="BD4" s="1" t="str">
        <f>IFERROR(VLOOKUP($A4,[28]!Table1[#All],2,0),"-")</f>
        <v>-</v>
      </c>
      <c r="BE4" s="14" t="str">
        <f>IFERROR(VLOOKUP($A4,[28]!Table1[#All],3,0),"-")</f>
        <v>-</v>
      </c>
      <c r="BF4" s="1" t="str">
        <f>IFERROR(VLOOKUP($A4,[29]!Table1[#All],2,0),"-")</f>
        <v>-</v>
      </c>
      <c r="BG4" s="14" t="str">
        <f>IFERROR(VLOOKUP($A4,[29]!Table1[#All],3,0),"-")</f>
        <v>-</v>
      </c>
      <c r="BH4" s="1" t="str">
        <f>IFERROR(VLOOKUP($A4,[30]!Table1[#All],2,0),"-")</f>
        <v>-</v>
      </c>
      <c r="BI4" s="14" t="str">
        <f>IFERROR(VLOOKUP($A4,[30]!Table1[#All],3,0),"-")</f>
        <v>-</v>
      </c>
      <c r="BJ4" s="1" t="str">
        <f>IFERROR(VLOOKUP($A4,[31]!Table1[#All],3,0),"-")</f>
        <v>-</v>
      </c>
      <c r="BK4" s="1" t="str">
        <f>IFERROR(VLOOKUP($A4,[31]!Table1[#All],3,0),"-")</f>
        <v>-</v>
      </c>
      <c r="BL4" s="11">
        <f t="shared" ref="BL4:BL21" si="27">SUM(B4,D4,F4,H4,J4,L4,N4,P4,R4,T4,V4,X4,Z4,AB4,AD4,AF4,AH4,AJ4,AL4,AN4,AP4,AR4,AT4,AV4,AX4,AZ4,BB4,BD4,BF4,BH4,BJ4)</f>
        <v>0</v>
      </c>
      <c r="BM4" s="10">
        <f t="shared" ref="BM4:BM21" si="28">SUM(C4,E4,G4,I4,K4,M4,O4,Q4,S4,U4,W4,Y4,AA4,AC4,AE4,AG4,AI4,AK4,AM4,AO4,AQ4,AS4,AU4,AW4,AY4,BA4,BC4,BE4,BG4,BI4,BK4)</f>
        <v>0</v>
      </c>
    </row>
    <row r="5" spans="1:71" x14ac:dyDescent="0.2">
      <c r="A5" s="13" t="s">
        <v>2</v>
      </c>
      <c r="B5" s="1" t="str">
        <f>IFERROR(VLOOKUP($A5,[1]!Table1[#All],2,0),"-")</f>
        <v>-</v>
      </c>
      <c r="C5" s="14" t="str">
        <f>IFERROR(VLOOKUP($A5,[1]!Table1[#All],3,0),"-")</f>
        <v>-</v>
      </c>
      <c r="D5" s="1" t="str">
        <f>IFERROR(VLOOKUP($A5,[2]!Table2[#All],2,0),"-")</f>
        <v>-</v>
      </c>
      <c r="E5" s="14" t="str">
        <f>IFERROR(VLOOKUP($A5,[2]!Table2[#All],3,0),"-")</f>
        <v>-</v>
      </c>
      <c r="F5" s="1" t="str">
        <f>IFERROR(VLOOKUP($A5,[3]!Table1[#All],2,0),"-")</f>
        <v>-</v>
      </c>
      <c r="G5" s="14" t="str">
        <f>IFERROR(VLOOKUP($A5,[3]!Table1[#All],3,0),"-")</f>
        <v>-</v>
      </c>
      <c r="H5" s="1" t="str">
        <f>IFERROR(VLOOKUP($A5,[4]Sheet1!$I$9,3,0),"-")</f>
        <v>-</v>
      </c>
      <c r="I5" s="13" t="str">
        <f>IFERROR(VLOOKUP($A5,[4]Sheet1!$I$9,2,0),"-")</f>
        <v>-</v>
      </c>
      <c r="J5" s="1" t="str">
        <f>IFERROR(VLOOKUP($A5,[5]!Table1[#All],2,0),"-")</f>
        <v>-</v>
      </c>
      <c r="K5" s="14" t="str">
        <f>IFERROR(VLOOKUP($A5,[5]!Table1[#All],3,0),"-")</f>
        <v>-</v>
      </c>
      <c r="L5" s="1" t="str">
        <f>IFERROR(VLOOKUP($A5,[6]!Table1[#All],2,0),"-")</f>
        <v>-</v>
      </c>
      <c r="M5" s="14" t="str">
        <f>IFERROR(VLOOKUP($A5,[6]!Table1[#All],3,0),"-")</f>
        <v>-</v>
      </c>
      <c r="N5" s="1" t="str">
        <f>IFERROR(VLOOKUP($A5,[7]!Table1[#All],2,0),"-")</f>
        <v>-</v>
      </c>
      <c r="O5" s="14" t="str">
        <f>IFERROR(VLOOKUP($A5,[7]!Table1[#All],3,0),"-")</f>
        <v>-</v>
      </c>
      <c r="P5" s="1" t="str">
        <f>IFERROR(VLOOKUP($A5,[8]!Table1[#All],2,0),"-")</f>
        <v>-</v>
      </c>
      <c r="Q5" s="14" t="str">
        <f>IFERROR(VLOOKUP($A5,[8]!Table1[#All],3,0),"-")</f>
        <v>-</v>
      </c>
      <c r="R5" s="1" t="str">
        <f>IFERROR(VLOOKUP($A5,[9]!Table1[#All],2,0),"-")</f>
        <v>-</v>
      </c>
      <c r="S5" s="14" t="str">
        <f>IFERROR(VLOOKUP($A5,[9]!Table1[#All],3,0),"-")</f>
        <v>-</v>
      </c>
      <c r="T5" s="1" t="str">
        <f>IFERROR(VLOOKUP($A5,[10]!Table1[#All],3,0),"-")</f>
        <v>-</v>
      </c>
      <c r="U5" s="14" t="str">
        <f>IFERROR(VLOOKUP($A5,[10]!Table1[#All],2,0),"-")</f>
        <v>-</v>
      </c>
      <c r="V5" s="1" t="str">
        <f>IFERROR(VLOOKUP($A5,[11]!Table1[#All],2,0),"-")</f>
        <v>-</v>
      </c>
      <c r="W5" s="14" t="str">
        <f>IFERROR(VLOOKUP($A5,[11]!Table1[#All],3,0),"-")</f>
        <v>-</v>
      </c>
      <c r="X5" s="1" t="str">
        <f>IFERROR(VLOOKUP($A5,[12]!Table1[#All],2,0),"-")</f>
        <v>-</v>
      </c>
      <c r="Y5" s="14" t="str">
        <f>IFERROR(VLOOKUP($A5,[12]!Table1[#All],3,0),"-")</f>
        <v>-</v>
      </c>
      <c r="Z5" s="1" t="str">
        <f>IFERROR(VLOOKUP($A5,[13]!Table1[#All],2,0),"-")</f>
        <v>-</v>
      </c>
      <c r="AA5" s="14" t="str">
        <f>IFERROR(VLOOKUP($A5,[13]!Table1[#All],3,0),"-")</f>
        <v>-</v>
      </c>
      <c r="AB5" s="1" t="str">
        <f>IFERROR(VLOOKUP($A5,[14]!Table1[#All],2,0),"-")</f>
        <v>-</v>
      </c>
      <c r="AC5" s="14" t="str">
        <f>IFERROR(VLOOKUP($A5,[14]!Table1[#All],3,0),"-")</f>
        <v>-</v>
      </c>
      <c r="AD5" s="1" t="str">
        <f>IFERROR(VLOOKUP($A5,[15]!Table1[#All],2,0),"-")</f>
        <v>-</v>
      </c>
      <c r="AE5" s="14" t="str">
        <f>IFERROR(VLOOKUP($A5,[15]!Table1[#All],3,0),"-")</f>
        <v>-</v>
      </c>
      <c r="AF5" s="1" t="str">
        <f>IFERROR(VLOOKUP($A5,[16]!Table2[#All],2,0),"-")</f>
        <v>-</v>
      </c>
      <c r="AG5" s="14" t="str">
        <f>IFERROR(VLOOKUP($A5,[16]!Table2[#All],3,0),"-")</f>
        <v>-</v>
      </c>
      <c r="AH5" s="1" t="str">
        <f>IFERROR(VLOOKUP($A5,[17]!Table1[#All],2,0),"-")</f>
        <v>-</v>
      </c>
      <c r="AI5" s="14" t="str">
        <f>IFERROR(VLOOKUP($A5,[17]!Table1[#All],3,0),"-")</f>
        <v>-</v>
      </c>
      <c r="AJ5" s="1" t="str">
        <f>IFERROR(VLOOKUP($A5,[18]!Table1[#All],2,0),"-")</f>
        <v>-</v>
      </c>
      <c r="AK5" s="14" t="str">
        <f>IFERROR(VLOOKUP($A5,[18]!Table1[#All],3,0),"-")</f>
        <v>-</v>
      </c>
      <c r="AL5" s="1" t="str">
        <f>IFERROR(VLOOKUP($A5,[19]!Table1[#All],2,0),"-")</f>
        <v>-</v>
      </c>
      <c r="AM5" s="14" t="str">
        <f>IFERROR(VLOOKUP($A5,[19]!Table1[#All],3,0),"-")</f>
        <v>-</v>
      </c>
      <c r="AN5" s="1" t="str">
        <f>IFERROR(VLOOKUP($A5,[20]!Table1[#All],2,0),"-")</f>
        <v>-</v>
      </c>
      <c r="AO5" s="14" t="str">
        <f>IFERROR(VLOOKUP($A5,[20]!Table1[#All],3,0),"-")</f>
        <v>-</v>
      </c>
      <c r="AP5" s="1" t="str">
        <f>IFERROR(VLOOKUP($A5,[21]!Table2[#All],2,0),"-")</f>
        <v>-</v>
      </c>
      <c r="AQ5" s="14" t="str">
        <f>IFERROR(VLOOKUP($A5,[21]!Table2[#All],3,0),"-")</f>
        <v>-</v>
      </c>
      <c r="AR5" s="1" t="str">
        <f>IFERROR(VLOOKUP($A5,[22]!Table1[#All],2,0),"-")</f>
        <v>-</v>
      </c>
      <c r="AS5" s="14" t="str">
        <f>IFERROR(VLOOKUP($A5,[22]!Table1[#All],3,0),"-")</f>
        <v>-</v>
      </c>
      <c r="AT5" s="1" t="str">
        <f>IFERROR(VLOOKUP($A5,[23]!Table1[#All],2,0),"-")</f>
        <v>-</v>
      </c>
      <c r="AU5" s="14" t="str">
        <f>IFERROR(VLOOKUP($A5,[23]!Table1[#All],3,0),"-")</f>
        <v>-</v>
      </c>
      <c r="AV5" s="1" t="str">
        <f>IFERROR(VLOOKUP($A5,[24]!Table1[#All],2,0),"-")</f>
        <v>-</v>
      </c>
      <c r="AW5" s="14" t="str">
        <f>IFERROR(VLOOKUP($A5,[24]!Table1[#All],3,0),"-")</f>
        <v>-</v>
      </c>
      <c r="AX5" s="1" t="str">
        <f>IFERROR(VLOOKUP($A5,[25]!Table1[#All],2,0),"-")</f>
        <v>-</v>
      </c>
      <c r="AY5" s="14" t="str">
        <f>IFERROR(VLOOKUP($A5,[25]!Table1[#All],3,0),"-")</f>
        <v>-</v>
      </c>
      <c r="AZ5" s="1" t="str">
        <f>IFERROR(VLOOKUP($A5,[26]!Table2[#All],2,0),"-")</f>
        <v>-</v>
      </c>
      <c r="BA5" s="14" t="str">
        <f>IFERROR(VLOOKUP($A5,[26]!Table2[#All],3,0),"-")</f>
        <v>-</v>
      </c>
      <c r="BB5" s="1" t="str">
        <f>IFERROR(VLOOKUP($A5,[27]!Table1[#All],2,0),"-")</f>
        <v>-</v>
      </c>
      <c r="BC5" s="14" t="str">
        <f>IFERROR(VLOOKUP($A5,[27]!Table1[#All],3,0),"-")</f>
        <v>-</v>
      </c>
      <c r="BD5" s="1" t="str">
        <f>IFERROR(VLOOKUP($A5,[28]!Table1[#All],2,0),"-")</f>
        <v>-</v>
      </c>
      <c r="BE5" s="14" t="str">
        <f>IFERROR(VLOOKUP($A5,[28]!Table1[#All],3,0),"-")</f>
        <v>-</v>
      </c>
      <c r="BF5" s="1" t="str">
        <f>IFERROR(VLOOKUP($A5,[29]!Table1[#All],2,0),"-")</f>
        <v>-</v>
      </c>
      <c r="BG5" s="14" t="str">
        <f>IFERROR(VLOOKUP($A5,[29]!Table1[#All],3,0),"-")</f>
        <v>-</v>
      </c>
      <c r="BH5" s="1" t="str">
        <f>IFERROR(VLOOKUP($A5,[30]!Table1[#All],2,0),"-")</f>
        <v>-</v>
      </c>
      <c r="BI5" s="14" t="str">
        <f>IFERROR(VLOOKUP($A5,[30]!Table1[#All],3,0),"-")</f>
        <v>-</v>
      </c>
      <c r="BJ5" s="1" t="str">
        <f>IFERROR(VLOOKUP($A5,[31]!Table1[#All],3,0),"-")</f>
        <v>-</v>
      </c>
      <c r="BK5" s="1" t="str">
        <f>IFERROR(VLOOKUP($A5,[31]!Table1[#All],3,0),"-")</f>
        <v>-</v>
      </c>
      <c r="BL5" s="11">
        <f t="shared" si="27"/>
        <v>0</v>
      </c>
      <c r="BM5" s="10">
        <f t="shared" si="28"/>
        <v>0</v>
      </c>
    </row>
    <row r="6" spans="1:71" x14ac:dyDescent="0.2">
      <c r="A6" s="13" t="s">
        <v>17</v>
      </c>
      <c r="B6" s="1" t="str">
        <f>IFERROR(VLOOKUP($A6,[1]!Table1[#All],2,0),"-")</f>
        <v>-</v>
      </c>
      <c r="C6" s="14" t="str">
        <f>IFERROR(VLOOKUP($A6,[1]!Table1[#All],3,0),"-")</f>
        <v>-</v>
      </c>
      <c r="D6" s="1" t="str">
        <f>IFERROR(VLOOKUP($A6,[2]!Table2[#All],2,0),"-")</f>
        <v>-</v>
      </c>
      <c r="E6" s="14" t="str">
        <f>IFERROR(VLOOKUP($A6,[2]!Table2[#All],3,0),"-")</f>
        <v>-</v>
      </c>
      <c r="F6" s="1" t="str">
        <f>IFERROR(VLOOKUP($A6,[3]!Table1[#All],2,0),"-")</f>
        <v>-</v>
      </c>
      <c r="G6" s="14" t="str">
        <f>IFERROR(VLOOKUP($A6,[3]!Table1[#All],3,0),"-")</f>
        <v>-</v>
      </c>
      <c r="H6" s="1" t="str">
        <f>IFERROR(VLOOKUP($A6,[4]Sheet1!$I$9,3,0),"-")</f>
        <v>-</v>
      </c>
      <c r="I6" s="13" t="str">
        <f>IFERROR(VLOOKUP($A6,[4]Sheet1!$I$9,2,0),"-")</f>
        <v>-</v>
      </c>
      <c r="J6" s="1" t="str">
        <f>IFERROR(VLOOKUP($A6,[5]!Table1[#All],2,0),"-")</f>
        <v>-</v>
      </c>
      <c r="K6" s="14" t="str">
        <f>IFERROR(VLOOKUP($A6,[5]!Table1[#All],3,0),"-")</f>
        <v>-</v>
      </c>
      <c r="L6" s="1" t="str">
        <f>IFERROR(VLOOKUP($A6,[6]!Table1[#All],2,0),"-")</f>
        <v>-</v>
      </c>
      <c r="M6" s="14" t="str">
        <f>IFERROR(VLOOKUP($A6,[6]!Table1[#All],3,0),"-")</f>
        <v>-</v>
      </c>
      <c r="N6" s="1" t="str">
        <f>IFERROR(VLOOKUP($A6,[7]!Table1[#All],2,0),"-")</f>
        <v>-</v>
      </c>
      <c r="O6" s="14" t="str">
        <f>IFERROR(VLOOKUP($A6,[7]!Table1[#All],3,0),"-")</f>
        <v>-</v>
      </c>
      <c r="P6" s="1" t="str">
        <f>IFERROR(VLOOKUP($A6,[8]!Table1[#All],2,0),"-")</f>
        <v>-</v>
      </c>
      <c r="Q6" s="14" t="str">
        <f>IFERROR(VLOOKUP($A6,[8]!Table1[#All],3,0),"-")</f>
        <v>-</v>
      </c>
      <c r="R6" s="1" t="str">
        <f>IFERROR(VLOOKUP($A6,[9]!Table1[#All],2,0),"-")</f>
        <v>-</v>
      </c>
      <c r="S6" s="14" t="str">
        <f>IFERROR(VLOOKUP($A6,[9]!Table1[#All],3,0),"-")</f>
        <v>-</v>
      </c>
      <c r="T6" s="1" t="str">
        <f>IFERROR(VLOOKUP($A6,[10]!Table1[#All],3,0),"-")</f>
        <v>-</v>
      </c>
      <c r="U6" s="14" t="str">
        <f>IFERROR(VLOOKUP($A6,[10]!Table1[#All],2,0),"-")</f>
        <v>-</v>
      </c>
      <c r="V6" s="1" t="str">
        <f>IFERROR(VLOOKUP($A6,[11]!Table1[#All],2,0),"-")</f>
        <v>-</v>
      </c>
      <c r="W6" s="14" t="str">
        <f>IFERROR(VLOOKUP($A6,[11]!Table1[#All],3,0),"-")</f>
        <v>-</v>
      </c>
      <c r="X6" s="1" t="str">
        <f>IFERROR(VLOOKUP($A6,[12]!Table1[#All],2,0),"-")</f>
        <v>-</v>
      </c>
      <c r="Y6" s="14" t="str">
        <f>IFERROR(VLOOKUP($A6,[12]!Table1[#All],3,0),"-")</f>
        <v>-</v>
      </c>
      <c r="Z6" s="1" t="str">
        <f>IFERROR(VLOOKUP($A6,[13]!Table1[#All],2,0),"-")</f>
        <v>-</v>
      </c>
      <c r="AA6" s="14" t="str">
        <f>IFERROR(VLOOKUP($A6,[13]!Table1[#All],3,0),"-")</f>
        <v>-</v>
      </c>
      <c r="AB6" s="1" t="str">
        <f>IFERROR(VLOOKUP($A6,[14]!Table1[#All],2,0),"-")</f>
        <v>-</v>
      </c>
      <c r="AC6" s="14" t="str">
        <f>IFERROR(VLOOKUP($A6,[14]!Table1[#All],3,0),"-")</f>
        <v>-</v>
      </c>
      <c r="AD6" s="1" t="str">
        <f>IFERROR(VLOOKUP($A6,[15]!Table1[#All],2,0),"-")</f>
        <v>-</v>
      </c>
      <c r="AE6" s="14" t="str">
        <f>IFERROR(VLOOKUP($A6,[15]!Table1[#All],3,0),"-")</f>
        <v>-</v>
      </c>
      <c r="AF6" s="1" t="str">
        <f>IFERROR(VLOOKUP($A6,[16]!Table2[#All],2,0),"-")</f>
        <v>-</v>
      </c>
      <c r="AG6" s="14" t="str">
        <f>IFERROR(VLOOKUP($A6,[16]!Table2[#All],3,0),"-")</f>
        <v>-</v>
      </c>
      <c r="AH6" s="1" t="str">
        <f>IFERROR(VLOOKUP($A6,[17]!Table1[#All],2,0),"-")</f>
        <v>-</v>
      </c>
      <c r="AI6" s="14" t="str">
        <f>IFERROR(VLOOKUP($A6,[17]!Table1[#All],3,0),"-")</f>
        <v>-</v>
      </c>
      <c r="AJ6" s="1" t="str">
        <f>IFERROR(VLOOKUP($A6,[18]!Table1[#All],2,0),"-")</f>
        <v>-</v>
      </c>
      <c r="AK6" s="14" t="str">
        <f>IFERROR(VLOOKUP($A6,[18]!Table1[#All],3,0),"-")</f>
        <v>-</v>
      </c>
      <c r="AL6" s="1" t="str">
        <f>IFERROR(VLOOKUP($A6,[19]!Table1[#All],2,0),"-")</f>
        <v>-</v>
      </c>
      <c r="AM6" s="14" t="str">
        <f>IFERROR(VLOOKUP($A6,[19]!Table1[#All],3,0),"-")</f>
        <v>-</v>
      </c>
      <c r="AN6" s="1" t="str">
        <f>IFERROR(VLOOKUP($A6,[20]!Table1[#All],2,0),"-")</f>
        <v>-</v>
      </c>
      <c r="AO6" s="14" t="str">
        <f>IFERROR(VLOOKUP($A6,[20]!Table1[#All],3,0),"-")</f>
        <v>-</v>
      </c>
      <c r="AP6" s="1" t="str">
        <f>IFERROR(VLOOKUP($A6,[21]!Table2[#All],2,0),"-")</f>
        <v>-</v>
      </c>
      <c r="AQ6" s="14" t="str">
        <f>IFERROR(VLOOKUP($A6,[21]!Table2[#All],3,0),"-")</f>
        <v>-</v>
      </c>
      <c r="AR6" s="1" t="str">
        <f>IFERROR(VLOOKUP($A6,[22]!Table1[#All],2,0),"-")</f>
        <v>-</v>
      </c>
      <c r="AS6" s="14" t="str">
        <f>IFERROR(VLOOKUP($A6,[22]!Table1[#All],3,0),"-")</f>
        <v>-</v>
      </c>
      <c r="AT6" s="1" t="str">
        <f>IFERROR(VLOOKUP($A6,[23]!Table1[#All],2,0),"-")</f>
        <v>-</v>
      </c>
      <c r="AU6" s="14" t="str">
        <f>IFERROR(VLOOKUP($A6,[23]!Table1[#All],3,0),"-")</f>
        <v>-</v>
      </c>
      <c r="AV6" s="1" t="str">
        <f>IFERROR(VLOOKUP($A6,[24]!Table1[#All],2,0),"-")</f>
        <v>-</v>
      </c>
      <c r="AW6" s="14" t="str">
        <f>IFERROR(VLOOKUP($A6,[24]!Table1[#All],3,0),"-")</f>
        <v>-</v>
      </c>
      <c r="AX6" s="1" t="str">
        <f>IFERROR(VLOOKUP($A6,[25]!Table1[#All],2,0),"-")</f>
        <v>-</v>
      </c>
      <c r="AY6" s="14" t="str">
        <f>IFERROR(VLOOKUP($A6,[25]!Table1[#All],3,0),"-")</f>
        <v>-</v>
      </c>
      <c r="AZ6" s="1" t="str">
        <f>IFERROR(VLOOKUP($A6,[26]!Table2[#All],2,0),"-")</f>
        <v>-</v>
      </c>
      <c r="BA6" s="14" t="str">
        <f>IFERROR(VLOOKUP($A6,[26]!Table2[#All],3,0),"-")</f>
        <v>-</v>
      </c>
      <c r="BB6" s="1" t="str">
        <f>IFERROR(VLOOKUP($A6,[27]!Table1[#All],2,0),"-")</f>
        <v>-</v>
      </c>
      <c r="BC6" s="14" t="str">
        <f>IFERROR(VLOOKUP($A6,[27]!Table1[#All],3,0),"-")</f>
        <v>-</v>
      </c>
      <c r="BD6" s="1" t="str">
        <f>IFERROR(VLOOKUP($A6,[28]!Table1[#All],2,0),"-")</f>
        <v>-</v>
      </c>
      <c r="BE6" s="14" t="str">
        <f>IFERROR(VLOOKUP($A6,[28]!Table1[#All],3,0),"-")</f>
        <v>-</v>
      </c>
      <c r="BF6" s="1" t="str">
        <f>IFERROR(VLOOKUP($A6,[29]!Table1[#All],2,0),"-")</f>
        <v>-</v>
      </c>
      <c r="BG6" s="14" t="str">
        <f>IFERROR(VLOOKUP($A6,[29]!Table1[#All],3,0),"-")</f>
        <v>-</v>
      </c>
      <c r="BH6" s="1" t="str">
        <f>IFERROR(VLOOKUP($A6,[30]!Table1[#All],2,0),"-")</f>
        <v>-</v>
      </c>
      <c r="BI6" s="14" t="str">
        <f>IFERROR(VLOOKUP($A6,[30]!Table1[#All],3,0),"-")</f>
        <v>-</v>
      </c>
      <c r="BJ6" s="1" t="str">
        <f>IFERROR(VLOOKUP($A6,[31]!Table1[#All],3,0),"-")</f>
        <v>-</v>
      </c>
      <c r="BK6" s="1" t="str">
        <f>IFERROR(VLOOKUP($A6,[31]!Table1[#All],3,0),"-")</f>
        <v>-</v>
      </c>
      <c r="BL6" s="11">
        <f t="shared" si="27"/>
        <v>0</v>
      </c>
      <c r="BM6" s="10">
        <f t="shared" si="28"/>
        <v>0</v>
      </c>
      <c r="BO6" s="12"/>
    </row>
    <row r="7" spans="1:71" x14ac:dyDescent="0.2">
      <c r="A7" s="13" t="s">
        <v>15</v>
      </c>
      <c r="B7" s="1" t="str">
        <f>IFERROR(VLOOKUP($A7,[1]!Table1[#All],2,0),"-")</f>
        <v>-</v>
      </c>
      <c r="C7" s="14" t="str">
        <f>IFERROR(VLOOKUP($A7,[1]!Table1[#All],3,0),"-")</f>
        <v>-</v>
      </c>
      <c r="D7" s="1" t="str">
        <f>IFERROR(VLOOKUP($A7,[2]!Table2[#All],2,0),"-")</f>
        <v>-</v>
      </c>
      <c r="E7" s="14" t="str">
        <f>IFERROR(VLOOKUP($A7,[2]!Table2[#All],3,0),"-")</f>
        <v>-</v>
      </c>
      <c r="F7" s="1" t="str">
        <f>IFERROR(VLOOKUP($A7,[3]!Table1[#All],2,0),"-")</f>
        <v>-</v>
      </c>
      <c r="G7" s="14" t="str">
        <f>IFERROR(VLOOKUP($A7,[3]!Table1[#All],3,0),"-")</f>
        <v>-</v>
      </c>
      <c r="H7" s="1" t="str">
        <f>IFERROR(VLOOKUP($A7,[4]Sheet1!$I$9,3,0),"-")</f>
        <v>-</v>
      </c>
      <c r="I7" s="13" t="str">
        <f>IFERROR(VLOOKUP($A7,[4]Sheet1!$I$9,2,0),"-")</f>
        <v>-</v>
      </c>
      <c r="J7" s="1" t="str">
        <f>IFERROR(VLOOKUP($A7,[5]!Table1[#All],2,0),"-")</f>
        <v>-</v>
      </c>
      <c r="K7" s="14" t="str">
        <f>IFERROR(VLOOKUP($A7,[5]!Table1[#All],3,0),"-")</f>
        <v>-</v>
      </c>
      <c r="L7" s="1" t="str">
        <f>IFERROR(VLOOKUP($A7,[6]!Table1[#All],2,0),"-")</f>
        <v>-</v>
      </c>
      <c r="M7" s="14" t="str">
        <f>IFERROR(VLOOKUP($A7,[6]!Table1[#All],3,0),"-")</f>
        <v>-</v>
      </c>
      <c r="N7" s="1" t="str">
        <f>IFERROR(VLOOKUP($A7,[7]!Table1[#All],2,0),"-")</f>
        <v>-</v>
      </c>
      <c r="O7" s="14" t="str">
        <f>IFERROR(VLOOKUP($A7,[7]!Table1[#All],3,0),"-")</f>
        <v>-</v>
      </c>
      <c r="P7" s="1" t="str">
        <f>IFERROR(VLOOKUP($A7,[8]!Table1[#All],2,0),"-")</f>
        <v>-</v>
      </c>
      <c r="Q7" s="14" t="str">
        <f>IFERROR(VLOOKUP($A7,[8]!Table1[#All],3,0),"-")</f>
        <v>-</v>
      </c>
      <c r="R7" s="1" t="str">
        <f>IFERROR(VLOOKUP($A7,[9]!Table1[#All],2,0),"-")</f>
        <v>-</v>
      </c>
      <c r="S7" s="14" t="str">
        <f>IFERROR(VLOOKUP($A7,[9]!Table1[#All],3,0),"-")</f>
        <v>-</v>
      </c>
      <c r="T7" s="1" t="str">
        <f>IFERROR(VLOOKUP($A7,[10]!Table1[#All],3,0),"-")</f>
        <v>-</v>
      </c>
      <c r="U7" s="14" t="str">
        <f>IFERROR(VLOOKUP($A7,[10]!Table1[#All],2,0),"-")</f>
        <v>-</v>
      </c>
      <c r="V7" s="1" t="str">
        <f>IFERROR(VLOOKUP($A7,[11]!Table1[#All],2,0),"-")</f>
        <v>-</v>
      </c>
      <c r="W7" s="14" t="str">
        <f>IFERROR(VLOOKUP($A7,[11]!Table1[#All],3,0),"-")</f>
        <v>-</v>
      </c>
      <c r="X7" s="1" t="str">
        <f>IFERROR(VLOOKUP($A7,[12]!Table1[#All],2,0),"-")</f>
        <v>-</v>
      </c>
      <c r="Y7" s="14" t="str">
        <f>IFERROR(VLOOKUP($A7,[12]!Table1[#All],3,0),"-")</f>
        <v>-</v>
      </c>
      <c r="Z7" s="1" t="str">
        <f>IFERROR(VLOOKUP($A7,[13]!Table1[#All],2,0),"-")</f>
        <v>-</v>
      </c>
      <c r="AA7" s="14" t="str">
        <f>IFERROR(VLOOKUP($A7,[13]!Table1[#All],3,0),"-")</f>
        <v>-</v>
      </c>
      <c r="AB7" s="1" t="str">
        <f>IFERROR(VLOOKUP($A7,[14]!Table1[#All],2,0),"-")</f>
        <v>-</v>
      </c>
      <c r="AC7" s="14" t="str">
        <f>IFERROR(VLOOKUP($A7,[14]!Table1[#All],3,0),"-")</f>
        <v>-</v>
      </c>
      <c r="AD7" s="1" t="str">
        <f>IFERROR(VLOOKUP($A7,[15]!Table1[#All],2,0),"-")</f>
        <v>-</v>
      </c>
      <c r="AE7" s="14" t="str">
        <f>IFERROR(VLOOKUP($A7,[15]!Table1[#All],3,0),"-")</f>
        <v>-</v>
      </c>
      <c r="AF7" s="1" t="str">
        <f>IFERROR(VLOOKUP($A7,[16]!Table2[#All],2,0),"-")</f>
        <v>-</v>
      </c>
      <c r="AG7" s="14" t="str">
        <f>IFERROR(VLOOKUP($A7,[16]!Table2[#All],3,0),"-")</f>
        <v>-</v>
      </c>
      <c r="AH7" s="1" t="str">
        <f>IFERROR(VLOOKUP($A7,[17]!Table1[#All],2,0),"-")</f>
        <v>-</v>
      </c>
      <c r="AI7" s="14" t="str">
        <f>IFERROR(VLOOKUP($A7,[17]!Table1[#All],3,0),"-")</f>
        <v>-</v>
      </c>
      <c r="AJ7" s="1" t="str">
        <f>IFERROR(VLOOKUP($A7,[18]!Table1[#All],2,0),"-")</f>
        <v>-</v>
      </c>
      <c r="AK7" s="14" t="str">
        <f>IFERROR(VLOOKUP($A7,[18]!Table1[#All],3,0),"-")</f>
        <v>-</v>
      </c>
      <c r="AL7" s="1" t="str">
        <f>IFERROR(VLOOKUP($A7,[19]!Table1[#All],2,0),"-")</f>
        <v>-</v>
      </c>
      <c r="AM7" s="14" t="str">
        <f>IFERROR(VLOOKUP($A7,[19]!Table1[#All],3,0),"-")</f>
        <v>-</v>
      </c>
      <c r="AN7" s="1" t="str">
        <f>IFERROR(VLOOKUP($A7,[20]!Table1[#All],2,0),"-")</f>
        <v>-</v>
      </c>
      <c r="AO7" s="14" t="str">
        <f>IFERROR(VLOOKUP($A7,[20]!Table1[#All],3,0),"-")</f>
        <v>-</v>
      </c>
      <c r="AP7" s="1" t="str">
        <f>IFERROR(VLOOKUP($A7,[21]!Table2[#All],2,0),"-")</f>
        <v>-</v>
      </c>
      <c r="AQ7" s="14" t="str">
        <f>IFERROR(VLOOKUP($A7,[21]!Table2[#All],3,0),"-")</f>
        <v>-</v>
      </c>
      <c r="AR7" s="1" t="str">
        <f>IFERROR(VLOOKUP($A7,[22]!Table1[#All],2,0),"-")</f>
        <v>-</v>
      </c>
      <c r="AS7" s="14" t="str">
        <f>IFERROR(VLOOKUP($A7,[22]!Table1[#All],3,0),"-")</f>
        <v>-</v>
      </c>
      <c r="AT7" s="1" t="str">
        <f>IFERROR(VLOOKUP($A7,[23]!Table1[#All],2,0),"-")</f>
        <v>-</v>
      </c>
      <c r="AU7" s="14" t="str">
        <f>IFERROR(VLOOKUP($A7,[23]!Table1[#All],3,0),"-")</f>
        <v>-</v>
      </c>
      <c r="AV7" s="1" t="str">
        <f>IFERROR(VLOOKUP($A7,[24]!Table1[#All],2,0),"-")</f>
        <v>-</v>
      </c>
      <c r="AW7" s="14" t="str">
        <f>IFERROR(VLOOKUP($A7,[24]!Table1[#All],3,0),"-")</f>
        <v>-</v>
      </c>
      <c r="AX7" s="1" t="str">
        <f>IFERROR(VLOOKUP($A7,[25]!Table1[#All],2,0),"-")</f>
        <v>-</v>
      </c>
      <c r="AY7" s="14" t="str">
        <f>IFERROR(VLOOKUP($A7,[25]!Table1[#All],3,0),"-")</f>
        <v>-</v>
      </c>
      <c r="AZ7" s="1" t="str">
        <f>IFERROR(VLOOKUP($A7,[26]!Table2[#All],2,0),"-")</f>
        <v>-</v>
      </c>
      <c r="BA7" s="14" t="str">
        <f>IFERROR(VLOOKUP($A7,[26]!Table2[#All],3,0),"-")</f>
        <v>-</v>
      </c>
      <c r="BB7" s="1" t="str">
        <f>IFERROR(VLOOKUP($A7,[27]!Table1[#All],2,0),"-")</f>
        <v>-</v>
      </c>
      <c r="BC7" s="14" t="str">
        <f>IFERROR(VLOOKUP($A7,[27]!Table1[#All],3,0),"-")</f>
        <v>-</v>
      </c>
      <c r="BD7" s="1" t="str">
        <f>IFERROR(VLOOKUP($A7,[28]!Table1[#All],2,0),"-")</f>
        <v>-</v>
      </c>
      <c r="BE7" s="14" t="str">
        <f>IFERROR(VLOOKUP($A7,[28]!Table1[#All],3,0),"-")</f>
        <v>-</v>
      </c>
      <c r="BF7" s="1" t="str">
        <f>IFERROR(VLOOKUP($A7,[29]!Table1[#All],2,0),"-")</f>
        <v>-</v>
      </c>
      <c r="BG7" s="14" t="str">
        <f>IFERROR(VLOOKUP($A7,[29]!Table1[#All],3,0),"-")</f>
        <v>-</v>
      </c>
      <c r="BH7" s="1" t="str">
        <f>IFERROR(VLOOKUP($A7,[30]!Table1[#All],2,0),"-")</f>
        <v>-</v>
      </c>
      <c r="BI7" s="14" t="str">
        <f>IFERROR(VLOOKUP($A7,[30]!Table1[#All],3,0),"-")</f>
        <v>-</v>
      </c>
      <c r="BJ7" s="1" t="str">
        <f>IFERROR(VLOOKUP($A7,[31]!Table1[#All],3,0),"-")</f>
        <v>-</v>
      </c>
      <c r="BK7" s="1" t="str">
        <f>IFERROR(VLOOKUP($A7,[31]!Table1[#All],3,0),"-")</f>
        <v>-</v>
      </c>
      <c r="BL7" s="11">
        <f t="shared" si="27"/>
        <v>0</v>
      </c>
      <c r="BM7" s="10">
        <f t="shared" si="28"/>
        <v>0</v>
      </c>
    </row>
    <row r="8" spans="1:71" x14ac:dyDescent="0.2">
      <c r="A8" s="13" t="s">
        <v>12</v>
      </c>
      <c r="B8" s="1" t="str">
        <f>IFERROR(VLOOKUP($A8,[1]!Table1[#All],2,0),"-")</f>
        <v>-</v>
      </c>
      <c r="C8" s="14" t="str">
        <f>IFERROR(VLOOKUP($A8,[1]!Table1[#All],3,0),"-")</f>
        <v>-</v>
      </c>
      <c r="D8" s="1" t="str">
        <f>IFERROR(VLOOKUP($A8,[2]!Table2[#All],2,0),"-")</f>
        <v>-</v>
      </c>
      <c r="E8" s="14" t="str">
        <f>IFERROR(VLOOKUP($A8,[2]!Table2[#All],3,0),"-")</f>
        <v>-</v>
      </c>
      <c r="F8" s="1" t="str">
        <f>IFERROR(VLOOKUP($A8,[3]!Table1[#All],2,0),"-")</f>
        <v>-</v>
      </c>
      <c r="G8" s="14" t="str">
        <f>IFERROR(VLOOKUP($A8,[3]!Table1[#All],3,0),"-")</f>
        <v>-</v>
      </c>
      <c r="H8" s="1" t="str">
        <f>IFERROR(VLOOKUP($A8,[4]Sheet1!$I$9,3,0),"-")</f>
        <v>-</v>
      </c>
      <c r="I8" s="13" t="str">
        <f>IFERROR(VLOOKUP($A8,[4]Sheet1!$I$9,2,0),"-")</f>
        <v>-</v>
      </c>
      <c r="J8" s="1" t="str">
        <f>IFERROR(VLOOKUP($A8,[5]!Table1[#All],2,0),"-")</f>
        <v>-</v>
      </c>
      <c r="K8" s="14" t="str">
        <f>IFERROR(VLOOKUP($A8,[5]!Table1[#All],3,0),"-")</f>
        <v>-</v>
      </c>
      <c r="L8" s="1" t="str">
        <f>IFERROR(VLOOKUP($A8,[6]!Table1[#All],2,0),"-")</f>
        <v>-</v>
      </c>
      <c r="M8" s="14" t="str">
        <f>IFERROR(VLOOKUP($A8,[6]!Table1[#All],3,0),"-")</f>
        <v>-</v>
      </c>
      <c r="N8" s="1" t="str">
        <f>IFERROR(VLOOKUP($A8,[7]!Table1[#All],2,0),"-")</f>
        <v>-</v>
      </c>
      <c r="O8" s="14" t="str">
        <f>IFERROR(VLOOKUP($A8,[7]!Table1[#All],3,0),"-")</f>
        <v>-</v>
      </c>
      <c r="P8" s="1" t="str">
        <f>IFERROR(VLOOKUP($A8,[8]!Table1[#All],2,0),"-")</f>
        <v>-</v>
      </c>
      <c r="Q8" s="14" t="str">
        <f>IFERROR(VLOOKUP($A8,[8]!Table1[#All],3,0),"-")</f>
        <v>-</v>
      </c>
      <c r="R8" s="1" t="str">
        <f>IFERROR(VLOOKUP($A8,[9]!Table1[#All],2,0),"-")</f>
        <v>-</v>
      </c>
      <c r="S8" s="14" t="str">
        <f>IFERROR(VLOOKUP($A8,[9]!Table1[#All],3,0),"-")</f>
        <v>-</v>
      </c>
      <c r="T8" s="1" t="str">
        <f>IFERROR(VLOOKUP($A8,[10]!Table1[#All],3,0),"-")</f>
        <v>-</v>
      </c>
      <c r="U8" s="14" t="str">
        <f>IFERROR(VLOOKUP($A8,[10]!Table1[#All],2,0),"-")</f>
        <v>-</v>
      </c>
      <c r="V8" s="1" t="str">
        <f>IFERROR(VLOOKUP($A8,[11]!Table1[#All],2,0),"-")</f>
        <v>-</v>
      </c>
      <c r="W8" s="14" t="str">
        <f>IFERROR(VLOOKUP($A8,[11]!Table1[#All],3,0),"-")</f>
        <v>-</v>
      </c>
      <c r="X8" s="1" t="str">
        <f>IFERROR(VLOOKUP($A8,[12]!Table1[#All],2,0),"-")</f>
        <v>-</v>
      </c>
      <c r="Y8" s="14" t="str">
        <f>IFERROR(VLOOKUP($A8,[12]!Table1[#All],3,0),"-")</f>
        <v>-</v>
      </c>
      <c r="Z8" s="1" t="str">
        <f>IFERROR(VLOOKUP($A8,[13]!Table1[#All],2,0),"-")</f>
        <v>-</v>
      </c>
      <c r="AA8" s="14" t="str">
        <f>IFERROR(VLOOKUP($A8,[13]!Table1[#All],3,0),"-")</f>
        <v>-</v>
      </c>
      <c r="AB8" s="1" t="str">
        <f>IFERROR(VLOOKUP($A8,[14]!Table1[#All],2,0),"-")</f>
        <v>-</v>
      </c>
      <c r="AC8" s="14" t="str">
        <f>IFERROR(VLOOKUP($A8,[14]!Table1[#All],3,0),"-")</f>
        <v>-</v>
      </c>
      <c r="AD8" s="1" t="str">
        <f>IFERROR(VLOOKUP($A8,[15]!Table1[#All],2,0),"-")</f>
        <v>-</v>
      </c>
      <c r="AE8" s="14" t="str">
        <f>IFERROR(VLOOKUP($A8,[15]!Table1[#All],3,0),"-")</f>
        <v>-</v>
      </c>
      <c r="AF8" s="1" t="str">
        <f>IFERROR(VLOOKUP($A8,[16]!Table2[#All],2,0),"-")</f>
        <v>-</v>
      </c>
      <c r="AG8" s="14" t="str">
        <f>IFERROR(VLOOKUP($A8,[16]!Table2[#All],3,0),"-")</f>
        <v>-</v>
      </c>
      <c r="AH8" s="1" t="str">
        <f>IFERROR(VLOOKUP($A8,[17]!Table1[#All],2,0),"-")</f>
        <v>-</v>
      </c>
      <c r="AI8" s="14" t="str">
        <f>IFERROR(VLOOKUP($A8,[17]!Table1[#All],3,0),"-")</f>
        <v>-</v>
      </c>
      <c r="AJ8" s="1" t="str">
        <f>IFERROR(VLOOKUP($A8,[18]!Table1[#All],2,0),"-")</f>
        <v>-</v>
      </c>
      <c r="AK8" s="14" t="str">
        <f>IFERROR(VLOOKUP($A8,[18]!Table1[#All],3,0),"-")</f>
        <v>-</v>
      </c>
      <c r="AL8" s="1" t="str">
        <f>IFERROR(VLOOKUP($A8,[19]!Table1[#All],2,0),"-")</f>
        <v>-</v>
      </c>
      <c r="AM8" s="14" t="str">
        <f>IFERROR(VLOOKUP($A8,[19]!Table1[#All],3,0),"-")</f>
        <v>-</v>
      </c>
      <c r="AN8" s="1" t="str">
        <f>IFERROR(VLOOKUP($A8,[20]!Table1[#All],2,0),"-")</f>
        <v>-</v>
      </c>
      <c r="AO8" s="14" t="str">
        <f>IFERROR(VLOOKUP($A8,[20]!Table1[#All],3,0),"-")</f>
        <v>-</v>
      </c>
      <c r="AP8" s="1" t="str">
        <f>IFERROR(VLOOKUP($A8,[21]!Table2[#All],2,0),"-")</f>
        <v>-</v>
      </c>
      <c r="AQ8" s="14" t="str">
        <f>IFERROR(VLOOKUP($A8,[21]!Table2[#All],3,0),"-")</f>
        <v>-</v>
      </c>
      <c r="AR8" s="1" t="str">
        <f>IFERROR(VLOOKUP($A8,[22]!Table1[#All],2,0),"-")</f>
        <v>-</v>
      </c>
      <c r="AS8" s="14" t="str">
        <f>IFERROR(VLOOKUP($A8,[22]!Table1[#All],3,0),"-")</f>
        <v>-</v>
      </c>
      <c r="AT8" s="1" t="str">
        <f>IFERROR(VLOOKUP($A8,[23]!Table1[#All],2,0),"-")</f>
        <v>-</v>
      </c>
      <c r="AU8" s="14" t="str">
        <f>IFERROR(VLOOKUP($A8,[23]!Table1[#All],3,0),"-")</f>
        <v>-</v>
      </c>
      <c r="AV8" s="1" t="str">
        <f>IFERROR(VLOOKUP($A8,[24]!Table1[#All],2,0),"-")</f>
        <v>-</v>
      </c>
      <c r="AW8" s="14" t="str">
        <f>IFERROR(VLOOKUP($A8,[24]!Table1[#All],3,0),"-")</f>
        <v>-</v>
      </c>
      <c r="AX8" s="1" t="str">
        <f>IFERROR(VLOOKUP($A8,[25]!Table1[#All],2,0),"-")</f>
        <v>-</v>
      </c>
      <c r="AY8" s="14" t="str">
        <f>IFERROR(VLOOKUP($A8,[25]!Table1[#All],3,0),"-")</f>
        <v>-</v>
      </c>
      <c r="AZ8" s="1" t="str">
        <f>IFERROR(VLOOKUP($A8,[26]!Table2[#All],2,0),"-")</f>
        <v>-</v>
      </c>
      <c r="BA8" s="14" t="str">
        <f>IFERROR(VLOOKUP($A8,[26]!Table2[#All],3,0),"-")</f>
        <v>-</v>
      </c>
      <c r="BB8" s="1" t="str">
        <f>IFERROR(VLOOKUP($A8,[27]!Table1[#All],2,0),"-")</f>
        <v>-</v>
      </c>
      <c r="BC8" s="14" t="str">
        <f>IFERROR(VLOOKUP($A8,[27]!Table1[#All],3,0),"-")</f>
        <v>-</v>
      </c>
      <c r="BD8" s="1" t="str">
        <f>IFERROR(VLOOKUP($A8,[28]!Table1[#All],2,0),"-")</f>
        <v>-</v>
      </c>
      <c r="BE8" s="14" t="str">
        <f>IFERROR(VLOOKUP($A8,[28]!Table1[#All],3,0),"-")</f>
        <v>-</v>
      </c>
      <c r="BF8" s="1" t="str">
        <f>IFERROR(VLOOKUP($A8,[29]!Table1[#All],2,0),"-")</f>
        <v>-</v>
      </c>
      <c r="BG8" s="14" t="str">
        <f>IFERROR(VLOOKUP($A8,[29]!Table1[#All],3,0),"-")</f>
        <v>-</v>
      </c>
      <c r="BH8" s="1" t="str">
        <f>IFERROR(VLOOKUP($A8,[30]!Table1[#All],2,0),"-")</f>
        <v>-</v>
      </c>
      <c r="BI8" s="14" t="str">
        <f>IFERROR(VLOOKUP($A8,[30]!Table1[#All],3,0),"-")</f>
        <v>-</v>
      </c>
      <c r="BJ8" s="1" t="str">
        <f>IFERROR(VLOOKUP($A8,[31]!Table1[#All],3,0),"-")</f>
        <v>-</v>
      </c>
      <c r="BK8" s="1" t="str">
        <f>IFERROR(VLOOKUP($A8,[31]!Table1[#All],3,0),"-")</f>
        <v>-</v>
      </c>
      <c r="BL8" s="11">
        <f t="shared" si="27"/>
        <v>0</v>
      </c>
      <c r="BM8" s="10">
        <f t="shared" si="28"/>
        <v>0</v>
      </c>
    </row>
    <row r="9" spans="1:71" x14ac:dyDescent="0.2">
      <c r="A9" s="13" t="s">
        <v>18</v>
      </c>
      <c r="B9" s="1" t="str">
        <f>IFERROR(VLOOKUP($A9,[1]!Table1[#All],2,0),"-")</f>
        <v>-</v>
      </c>
      <c r="C9" s="14" t="str">
        <f>IFERROR(VLOOKUP($A9,[1]!Table1[#All],3,0),"-")</f>
        <v>-</v>
      </c>
      <c r="D9" s="1" t="str">
        <f>IFERROR(VLOOKUP($A9,[2]!Table2[#All],2,0),"-")</f>
        <v>-</v>
      </c>
      <c r="E9" s="14" t="str">
        <f>IFERROR(VLOOKUP($A9,[2]!Table2[#All],3,0),"-")</f>
        <v>-</v>
      </c>
      <c r="F9" s="1" t="str">
        <f>IFERROR(VLOOKUP($A9,[3]!Table1[#All],2,0),"-")</f>
        <v>-</v>
      </c>
      <c r="G9" s="14" t="str">
        <f>IFERROR(VLOOKUP($A9,[3]!Table1[#All],3,0),"-")</f>
        <v>-</v>
      </c>
      <c r="H9" s="1" t="str">
        <f>IFERROR(VLOOKUP($A9,[4]Sheet1!$I$9,3,0),"-")</f>
        <v>-</v>
      </c>
      <c r="I9" s="13" t="str">
        <f>IFERROR(VLOOKUP($A9,[4]Sheet1!$I$9,2,0),"-")</f>
        <v>-</v>
      </c>
      <c r="J9" s="1" t="str">
        <f>IFERROR(VLOOKUP($A9,[5]!Table1[#All],2,0),"-")</f>
        <v>-</v>
      </c>
      <c r="K9" s="14" t="str">
        <f>IFERROR(VLOOKUP($A9,[5]!Table1[#All],3,0),"-")</f>
        <v>-</v>
      </c>
      <c r="L9" s="1" t="str">
        <f>IFERROR(VLOOKUP($A9,[6]!Table1[#All],2,0),"-")</f>
        <v>-</v>
      </c>
      <c r="M9" s="14" t="str">
        <f>IFERROR(VLOOKUP($A9,[6]!Table1[#All],3,0),"-")</f>
        <v>-</v>
      </c>
      <c r="N9" s="1" t="str">
        <f>IFERROR(VLOOKUP($A9,[7]!Table1[#All],2,0),"-")</f>
        <v>-</v>
      </c>
      <c r="O9" s="14" t="str">
        <f>IFERROR(VLOOKUP($A9,[7]!Table1[#All],3,0),"-")</f>
        <v>-</v>
      </c>
      <c r="P9" s="1" t="str">
        <f>IFERROR(VLOOKUP($A9,[8]!Table1[#All],2,0),"-")</f>
        <v>-</v>
      </c>
      <c r="Q9" s="14" t="str">
        <f>IFERROR(VLOOKUP($A9,[8]!Table1[#All],3,0),"-")</f>
        <v>-</v>
      </c>
      <c r="R9" s="1" t="str">
        <f>IFERROR(VLOOKUP($A9,[9]!Table1[#All],2,0),"-")</f>
        <v>-</v>
      </c>
      <c r="S9" s="14" t="str">
        <f>IFERROR(VLOOKUP($A9,[9]!Table1[#All],3,0),"-")</f>
        <v>-</v>
      </c>
      <c r="T9" s="1" t="str">
        <f>IFERROR(VLOOKUP($A9,[10]!Table1[#All],3,0),"-")</f>
        <v>-</v>
      </c>
      <c r="U9" s="14" t="str">
        <f>IFERROR(VLOOKUP($A9,[10]!Table1[#All],2,0),"-")</f>
        <v>-</v>
      </c>
      <c r="V9" s="1" t="str">
        <f>IFERROR(VLOOKUP($A9,[11]!Table1[#All],2,0),"-")</f>
        <v>-</v>
      </c>
      <c r="W9" s="14" t="str">
        <f>IFERROR(VLOOKUP($A9,[11]!Table1[#All],3,0),"-")</f>
        <v>-</v>
      </c>
      <c r="X9" s="1" t="str">
        <f>IFERROR(VLOOKUP($A9,[12]!Table1[#All],2,0),"-")</f>
        <v>-</v>
      </c>
      <c r="Y9" s="14" t="str">
        <f>IFERROR(VLOOKUP($A9,[12]!Table1[#All],3,0),"-")</f>
        <v>-</v>
      </c>
      <c r="Z9" s="1" t="str">
        <f>IFERROR(VLOOKUP($A9,[13]!Table1[#All],2,0),"-")</f>
        <v>-</v>
      </c>
      <c r="AA9" s="14" t="str">
        <f>IFERROR(VLOOKUP($A9,[13]!Table1[#All],3,0),"-")</f>
        <v>-</v>
      </c>
      <c r="AB9" s="1" t="str">
        <f>IFERROR(VLOOKUP($A9,[14]!Table1[#All],2,0),"-")</f>
        <v>-</v>
      </c>
      <c r="AC9" s="14" t="str">
        <f>IFERROR(VLOOKUP($A9,[14]!Table1[#All],3,0),"-")</f>
        <v>-</v>
      </c>
      <c r="AD9" s="1" t="str">
        <f>IFERROR(VLOOKUP($A9,[15]!Table1[#All],2,0),"-")</f>
        <v>-</v>
      </c>
      <c r="AE9" s="14" t="str">
        <f>IFERROR(VLOOKUP($A9,[15]!Table1[#All],3,0),"-")</f>
        <v>-</v>
      </c>
      <c r="AF9" s="1" t="str">
        <f>IFERROR(VLOOKUP($A9,[16]!Table2[#All],2,0),"-")</f>
        <v>-</v>
      </c>
      <c r="AG9" s="14" t="str">
        <f>IFERROR(VLOOKUP($A9,[16]!Table2[#All],3,0),"-")</f>
        <v>-</v>
      </c>
      <c r="AH9" s="1" t="str">
        <f>IFERROR(VLOOKUP($A9,[17]!Table1[#All],2,0),"-")</f>
        <v>-</v>
      </c>
      <c r="AI9" s="14" t="str">
        <f>IFERROR(VLOOKUP($A9,[17]!Table1[#All],3,0),"-")</f>
        <v>-</v>
      </c>
      <c r="AJ9" s="1" t="str">
        <f>IFERROR(VLOOKUP($A9,[18]!Table1[#All],2,0),"-")</f>
        <v>-</v>
      </c>
      <c r="AK9" s="14" t="str">
        <f>IFERROR(VLOOKUP($A9,[18]!Table1[#All],3,0),"-")</f>
        <v>-</v>
      </c>
      <c r="AL9" s="1" t="str">
        <f>IFERROR(VLOOKUP($A9,[19]!Table1[#All],2,0),"-")</f>
        <v>-</v>
      </c>
      <c r="AM9" s="14" t="str">
        <f>IFERROR(VLOOKUP($A9,[19]!Table1[#All],3,0),"-")</f>
        <v>-</v>
      </c>
      <c r="AN9" s="1" t="str">
        <f>IFERROR(VLOOKUP($A9,[20]!Table1[#All],2,0),"-")</f>
        <v>-</v>
      </c>
      <c r="AO9" s="14" t="str">
        <f>IFERROR(VLOOKUP($A9,[20]!Table1[#All],3,0),"-")</f>
        <v>-</v>
      </c>
      <c r="AP9" s="1" t="str">
        <f>IFERROR(VLOOKUP($A9,[21]!Table2[#All],2,0),"-")</f>
        <v>-</v>
      </c>
      <c r="AQ9" s="14" t="str">
        <f>IFERROR(VLOOKUP($A9,[21]!Table2[#All],3,0),"-")</f>
        <v>-</v>
      </c>
      <c r="AR9" s="1" t="str">
        <f>IFERROR(VLOOKUP($A9,[22]!Table1[#All],2,0),"-")</f>
        <v>-</v>
      </c>
      <c r="AS9" s="14" t="str">
        <f>IFERROR(VLOOKUP($A9,[22]!Table1[#All],3,0),"-")</f>
        <v>-</v>
      </c>
      <c r="AT9" s="1" t="str">
        <f>IFERROR(VLOOKUP($A9,[23]!Table1[#All],2,0),"-")</f>
        <v>-</v>
      </c>
      <c r="AU9" s="14" t="str">
        <f>IFERROR(VLOOKUP($A9,[23]!Table1[#All],3,0),"-")</f>
        <v>-</v>
      </c>
      <c r="AV9" s="1" t="str">
        <f>IFERROR(VLOOKUP($A9,[24]!Table1[#All],2,0),"-")</f>
        <v>-</v>
      </c>
      <c r="AW9" s="14" t="str">
        <f>IFERROR(VLOOKUP($A9,[24]!Table1[#All],3,0),"-")</f>
        <v>-</v>
      </c>
      <c r="AX9" s="1" t="str">
        <f>IFERROR(VLOOKUP($A9,[25]!Table1[#All],2,0),"-")</f>
        <v>-</v>
      </c>
      <c r="AY9" s="14" t="str">
        <f>IFERROR(VLOOKUP($A9,[25]!Table1[#All],3,0),"-")</f>
        <v>-</v>
      </c>
      <c r="AZ9" s="1" t="str">
        <f>IFERROR(VLOOKUP($A9,[26]!Table2[#All],2,0),"-")</f>
        <v>-</v>
      </c>
      <c r="BA9" s="14" t="str">
        <f>IFERROR(VLOOKUP($A9,[26]!Table2[#All],3,0),"-")</f>
        <v>-</v>
      </c>
      <c r="BB9" s="1" t="str">
        <f>IFERROR(VLOOKUP($A9,[27]!Table1[#All],2,0),"-")</f>
        <v>-</v>
      </c>
      <c r="BC9" s="14" t="str">
        <f>IFERROR(VLOOKUP($A9,[27]!Table1[#All],3,0),"-")</f>
        <v>-</v>
      </c>
      <c r="BD9" s="1" t="str">
        <f>IFERROR(VLOOKUP($A9,[28]!Table1[#All],2,0),"-")</f>
        <v>-</v>
      </c>
      <c r="BE9" s="14" t="str">
        <f>IFERROR(VLOOKUP($A9,[28]!Table1[#All],3,0),"-")</f>
        <v>-</v>
      </c>
      <c r="BF9" s="1" t="str">
        <f>IFERROR(VLOOKUP($A9,[29]!Table1[#All],2,0),"-")</f>
        <v>-</v>
      </c>
      <c r="BG9" s="14" t="str">
        <f>IFERROR(VLOOKUP($A9,[29]!Table1[#All],3,0),"-")</f>
        <v>-</v>
      </c>
      <c r="BH9" s="1" t="str">
        <f>IFERROR(VLOOKUP($A9,[30]!Table1[#All],2,0),"-")</f>
        <v>-</v>
      </c>
      <c r="BI9" s="14" t="str">
        <f>IFERROR(VLOOKUP($A9,[30]!Table1[#All],3,0),"-")</f>
        <v>-</v>
      </c>
      <c r="BJ9" s="1" t="str">
        <f>IFERROR(VLOOKUP($A9,[31]!Table1[#All],3,0),"-")</f>
        <v>-</v>
      </c>
      <c r="BK9" s="1" t="str">
        <f>IFERROR(VLOOKUP($A9,[31]!Table1[#All],3,0),"-")</f>
        <v>-</v>
      </c>
      <c r="BL9" s="11">
        <f t="shared" si="27"/>
        <v>0</v>
      </c>
      <c r="BM9" s="10">
        <f t="shared" si="28"/>
        <v>0</v>
      </c>
    </row>
    <row r="10" spans="1:71" x14ac:dyDescent="0.2">
      <c r="A10" s="13" t="s">
        <v>19</v>
      </c>
      <c r="B10" s="1" t="str">
        <f>IFERROR(VLOOKUP($A10,[1]!Table1[#All],2,0),"-")</f>
        <v>-</v>
      </c>
      <c r="C10" s="14" t="str">
        <f>IFERROR(VLOOKUP($A10,[1]!Table1[#All],3,0),"-")</f>
        <v>-</v>
      </c>
      <c r="D10" s="1" t="str">
        <f>IFERROR(VLOOKUP($A10,[2]!Table2[#All],2,0),"-")</f>
        <v>-</v>
      </c>
      <c r="E10" s="14" t="str">
        <f>IFERROR(VLOOKUP($A10,[2]!Table2[#All],3,0),"-")</f>
        <v>-</v>
      </c>
      <c r="F10" s="1" t="str">
        <f>IFERROR(VLOOKUP($A10,[3]!Table1[#All],2,0),"-")</f>
        <v>-</v>
      </c>
      <c r="G10" s="14" t="str">
        <f>IFERROR(VLOOKUP($A10,[3]!Table1[#All],3,0),"-")</f>
        <v>-</v>
      </c>
      <c r="H10" s="1" t="str">
        <f>IFERROR(VLOOKUP($A10,[4]Sheet1!$I$9,3,0),"-")</f>
        <v>-</v>
      </c>
      <c r="I10" s="13" t="str">
        <f>IFERROR(VLOOKUP($A10,[4]Sheet1!$I$9,2,0),"-")</f>
        <v>-</v>
      </c>
      <c r="J10" s="1" t="str">
        <f>IFERROR(VLOOKUP($A10,[5]!Table1[#All],2,0),"-")</f>
        <v>-</v>
      </c>
      <c r="K10" s="14" t="str">
        <f>IFERROR(VLOOKUP($A10,[5]!Table1[#All],3,0),"-")</f>
        <v>-</v>
      </c>
      <c r="L10" s="1" t="str">
        <f>IFERROR(VLOOKUP($A10,[6]!Table1[#All],2,0),"-")</f>
        <v>-</v>
      </c>
      <c r="M10" s="14" t="str">
        <f>IFERROR(VLOOKUP($A10,[6]!Table1[#All],3,0),"-")</f>
        <v>-</v>
      </c>
      <c r="N10" s="1" t="str">
        <f>IFERROR(VLOOKUP($A10,[7]!Table1[#All],2,0),"-")</f>
        <v>-</v>
      </c>
      <c r="O10" s="14" t="str">
        <f>IFERROR(VLOOKUP($A10,[7]!Table1[#All],3,0),"-")</f>
        <v>-</v>
      </c>
      <c r="P10" s="1" t="str">
        <f>IFERROR(VLOOKUP($A10,[8]!Table1[#All],2,0),"-")</f>
        <v>-</v>
      </c>
      <c r="Q10" s="14" t="str">
        <f>IFERROR(VLOOKUP($A10,[8]!Table1[#All],3,0),"-")</f>
        <v>-</v>
      </c>
      <c r="R10" s="1" t="str">
        <f>IFERROR(VLOOKUP($A10,[9]!Table1[#All],2,0),"-")</f>
        <v>-</v>
      </c>
      <c r="S10" s="14" t="str">
        <f>IFERROR(VLOOKUP($A10,[9]!Table1[#All],3,0),"-")</f>
        <v>-</v>
      </c>
      <c r="T10" s="1" t="str">
        <f>IFERROR(VLOOKUP($A10,[10]!Table1[#All],3,0),"-")</f>
        <v>-</v>
      </c>
      <c r="U10" s="14" t="str">
        <f>IFERROR(VLOOKUP($A10,[10]!Table1[#All],2,0),"-")</f>
        <v>-</v>
      </c>
      <c r="V10" s="1" t="str">
        <f>IFERROR(VLOOKUP($A10,[11]!Table1[#All],2,0),"-")</f>
        <v>-</v>
      </c>
      <c r="W10" s="14" t="str">
        <f>IFERROR(VLOOKUP($A10,[11]!Table1[#All],3,0),"-")</f>
        <v>-</v>
      </c>
      <c r="X10" s="1" t="str">
        <f>IFERROR(VLOOKUP($A10,[12]!Table1[#All],2,0),"-")</f>
        <v>-</v>
      </c>
      <c r="Y10" s="14" t="str">
        <f>IFERROR(VLOOKUP($A10,[12]!Table1[#All],3,0),"-")</f>
        <v>-</v>
      </c>
      <c r="Z10" s="1" t="str">
        <f>IFERROR(VLOOKUP($A10,[13]!Table1[#All],2,0),"-")</f>
        <v>-</v>
      </c>
      <c r="AA10" s="14" t="str">
        <f>IFERROR(VLOOKUP($A10,[13]!Table1[#All],3,0),"-")</f>
        <v>-</v>
      </c>
      <c r="AB10" s="1" t="str">
        <f>IFERROR(VLOOKUP($A10,[14]!Table1[#All],2,0),"-")</f>
        <v>-</v>
      </c>
      <c r="AC10" s="14" t="str">
        <f>IFERROR(VLOOKUP($A10,[14]!Table1[#All],3,0),"-")</f>
        <v>-</v>
      </c>
      <c r="AD10" s="1" t="str">
        <f>IFERROR(VLOOKUP($A10,[15]!Table1[#All],2,0),"-")</f>
        <v>-</v>
      </c>
      <c r="AE10" s="14" t="str">
        <f>IFERROR(VLOOKUP($A10,[15]!Table1[#All],3,0),"-")</f>
        <v>-</v>
      </c>
      <c r="AF10" s="1" t="str">
        <f>IFERROR(VLOOKUP($A10,[16]!Table2[#All],2,0),"-")</f>
        <v>-</v>
      </c>
      <c r="AG10" s="14" t="str">
        <f>IFERROR(VLOOKUP($A10,[16]!Table2[#All],3,0),"-")</f>
        <v>-</v>
      </c>
      <c r="AH10" s="1" t="str">
        <f>IFERROR(VLOOKUP($A10,[17]!Table1[#All],2,0),"-")</f>
        <v>-</v>
      </c>
      <c r="AI10" s="14" t="str">
        <f>IFERROR(VLOOKUP($A10,[17]!Table1[#All],3,0),"-")</f>
        <v>-</v>
      </c>
      <c r="AJ10" s="1" t="str">
        <f>IFERROR(VLOOKUP($A10,[18]!Table1[#All],2,0),"-")</f>
        <v>-</v>
      </c>
      <c r="AK10" s="14" t="str">
        <f>IFERROR(VLOOKUP($A10,[18]!Table1[#All],3,0),"-")</f>
        <v>-</v>
      </c>
      <c r="AL10" s="1" t="str">
        <f>IFERROR(VLOOKUP($A10,[19]!Table1[#All],2,0),"-")</f>
        <v>-</v>
      </c>
      <c r="AM10" s="14" t="str">
        <f>IFERROR(VLOOKUP($A10,[19]!Table1[#All],3,0),"-")</f>
        <v>-</v>
      </c>
      <c r="AN10" s="1" t="str">
        <f>IFERROR(VLOOKUP($A10,[20]!Table1[#All],2,0),"-")</f>
        <v>-</v>
      </c>
      <c r="AO10" s="14" t="str">
        <f>IFERROR(VLOOKUP($A10,[20]!Table1[#All],3,0),"-")</f>
        <v>-</v>
      </c>
      <c r="AP10" s="1" t="str">
        <f>IFERROR(VLOOKUP($A10,[21]!Table2[#All],2,0),"-")</f>
        <v>-</v>
      </c>
      <c r="AQ10" s="14" t="str">
        <f>IFERROR(VLOOKUP($A10,[21]!Table2[#All],3,0),"-")</f>
        <v>-</v>
      </c>
      <c r="AR10" s="1" t="str">
        <f>IFERROR(VLOOKUP($A10,[22]!Table1[#All],2,0),"-")</f>
        <v>-</v>
      </c>
      <c r="AS10" s="14" t="str">
        <f>IFERROR(VLOOKUP($A10,[22]!Table1[#All],3,0),"-")</f>
        <v>-</v>
      </c>
      <c r="AT10" s="1" t="str">
        <f>IFERROR(VLOOKUP($A10,[23]!Table1[#All],2,0),"-")</f>
        <v>-</v>
      </c>
      <c r="AU10" s="14" t="str">
        <f>IFERROR(VLOOKUP($A10,[23]!Table1[#All],3,0),"-")</f>
        <v>-</v>
      </c>
      <c r="AV10" s="1" t="str">
        <f>IFERROR(VLOOKUP($A10,[24]!Table1[#All],2,0),"-")</f>
        <v>-</v>
      </c>
      <c r="AW10" s="14" t="str">
        <f>IFERROR(VLOOKUP($A10,[24]!Table1[#All],3,0),"-")</f>
        <v>-</v>
      </c>
      <c r="AX10" s="1" t="str">
        <f>IFERROR(VLOOKUP($A10,[25]!Table1[#All],2,0),"-")</f>
        <v>-</v>
      </c>
      <c r="AY10" s="14" t="str">
        <f>IFERROR(VLOOKUP($A10,[25]!Table1[#All],3,0),"-")</f>
        <v>-</v>
      </c>
      <c r="AZ10" s="1" t="str">
        <f>IFERROR(VLOOKUP($A10,[26]!Table2[#All],2,0),"-")</f>
        <v>-</v>
      </c>
      <c r="BA10" s="14" t="str">
        <f>IFERROR(VLOOKUP($A10,[26]!Table2[#All],3,0),"-")</f>
        <v>-</v>
      </c>
      <c r="BB10" s="1" t="str">
        <f>IFERROR(VLOOKUP($A10,[27]!Table1[#All],2,0),"-")</f>
        <v>-</v>
      </c>
      <c r="BC10" s="14" t="str">
        <f>IFERROR(VLOOKUP($A10,[27]!Table1[#All],3,0),"-")</f>
        <v>-</v>
      </c>
      <c r="BD10" s="1" t="str">
        <f>IFERROR(VLOOKUP($A10,[28]!Table1[#All],2,0),"-")</f>
        <v>-</v>
      </c>
      <c r="BE10" s="14" t="str">
        <f>IFERROR(VLOOKUP($A10,[28]!Table1[#All],3,0),"-")</f>
        <v>-</v>
      </c>
      <c r="BF10" s="1" t="str">
        <f>IFERROR(VLOOKUP($A10,[29]!Table1[#All],2,0),"-")</f>
        <v>-</v>
      </c>
      <c r="BG10" s="14" t="str">
        <f>IFERROR(VLOOKUP($A10,[29]!Table1[#All],3,0),"-")</f>
        <v>-</v>
      </c>
      <c r="BH10" s="1" t="str">
        <f>IFERROR(VLOOKUP($A10,[30]!Table1[#All],2,0),"-")</f>
        <v>-</v>
      </c>
      <c r="BI10" s="14" t="str">
        <f>IFERROR(VLOOKUP($A10,[30]!Table1[#All],3,0),"-")</f>
        <v>-</v>
      </c>
      <c r="BJ10" s="1" t="str">
        <f>IFERROR(VLOOKUP($A10,[31]!Table1[#All],3,0),"-")</f>
        <v>-</v>
      </c>
      <c r="BK10" s="1" t="str">
        <f>IFERROR(VLOOKUP($A10,[31]!Table1[#All],3,0),"-")</f>
        <v>-</v>
      </c>
      <c r="BL10" s="11">
        <f t="shared" si="27"/>
        <v>0</v>
      </c>
      <c r="BM10" s="10">
        <f t="shared" si="28"/>
        <v>0</v>
      </c>
    </row>
    <row r="11" spans="1:71" x14ac:dyDescent="0.2">
      <c r="A11" s="13" t="s">
        <v>13</v>
      </c>
      <c r="B11" s="1" t="str">
        <f>IFERROR(VLOOKUP($A11,[1]!Table1[#All],2,0),"-")</f>
        <v>-</v>
      </c>
      <c r="C11" s="14" t="str">
        <f>IFERROR(VLOOKUP($A11,[1]!Table1[#All],3,0),"-")</f>
        <v>-</v>
      </c>
      <c r="D11" s="1" t="str">
        <f>IFERROR(VLOOKUP($A11,[2]!Table2[#All],2,0),"-")</f>
        <v>-</v>
      </c>
      <c r="E11" s="14" t="str">
        <f>IFERROR(VLOOKUP($A11,[2]!Table2[#All],3,0),"-")</f>
        <v>-</v>
      </c>
      <c r="F11" s="1" t="str">
        <f>IFERROR(VLOOKUP($A11,[3]!Table1[#All],2,0),"-")</f>
        <v>-</v>
      </c>
      <c r="G11" s="14" t="str">
        <f>IFERROR(VLOOKUP($A11,[3]!Table1[#All],3,0),"-")</f>
        <v>-</v>
      </c>
      <c r="H11" s="1" t="str">
        <f>IFERROR(VLOOKUP($A11,[4]Sheet1!$I$9,3,0),"-")</f>
        <v>-</v>
      </c>
      <c r="I11" s="13" t="str">
        <f>IFERROR(VLOOKUP($A11,[4]Sheet1!$I$9,2,0),"-")</f>
        <v>-</v>
      </c>
      <c r="J11" s="1" t="str">
        <f>IFERROR(VLOOKUP($A11,[5]!Table1[#All],2,0),"-")</f>
        <v>-</v>
      </c>
      <c r="K11" s="14" t="str">
        <f>IFERROR(VLOOKUP($A11,[5]!Table1[#All],3,0),"-")</f>
        <v>-</v>
      </c>
      <c r="L11" s="1" t="str">
        <f>IFERROR(VLOOKUP($A11,[6]!Table1[#All],2,0),"-")</f>
        <v>-</v>
      </c>
      <c r="M11" s="14" t="str">
        <f>IFERROR(VLOOKUP($A11,[6]!Table1[#All],3,0),"-")</f>
        <v>-</v>
      </c>
      <c r="N11" s="1" t="str">
        <f>IFERROR(VLOOKUP($A11,[7]!Table1[#All],2,0),"-")</f>
        <v>-</v>
      </c>
      <c r="O11" s="14" t="str">
        <f>IFERROR(VLOOKUP($A11,[7]!Table1[#All],3,0),"-")</f>
        <v>-</v>
      </c>
      <c r="P11" s="1" t="str">
        <f>IFERROR(VLOOKUP($A11,[8]!Table1[#All],2,0),"-")</f>
        <v>-</v>
      </c>
      <c r="Q11" s="14" t="str">
        <f>IFERROR(VLOOKUP($A11,[8]!Table1[#All],3,0),"-")</f>
        <v>-</v>
      </c>
      <c r="R11" s="1" t="str">
        <f>IFERROR(VLOOKUP($A11,[9]!Table1[#All],2,0),"-")</f>
        <v>-</v>
      </c>
      <c r="S11" s="14" t="str">
        <f>IFERROR(VLOOKUP($A11,[9]!Table1[#All],3,0),"-")</f>
        <v>-</v>
      </c>
      <c r="T11" s="1" t="str">
        <f>IFERROR(VLOOKUP($A11,[10]!Table1[#All],3,0),"-")</f>
        <v>-</v>
      </c>
      <c r="U11" s="14" t="str">
        <f>IFERROR(VLOOKUP($A11,[10]!Table1[#All],2,0),"-")</f>
        <v>-</v>
      </c>
      <c r="V11" s="1" t="str">
        <f>IFERROR(VLOOKUP($A11,[11]!Table1[#All],2,0),"-")</f>
        <v>-</v>
      </c>
      <c r="W11" s="14" t="str">
        <f>IFERROR(VLOOKUP($A11,[11]!Table1[#All],3,0),"-")</f>
        <v>-</v>
      </c>
      <c r="X11" s="1" t="str">
        <f>IFERROR(VLOOKUP($A11,[12]!Table1[#All],2,0),"-")</f>
        <v>-</v>
      </c>
      <c r="Y11" s="14" t="str">
        <f>IFERROR(VLOOKUP($A11,[12]!Table1[#All],3,0),"-")</f>
        <v>-</v>
      </c>
      <c r="Z11" s="1" t="str">
        <f>IFERROR(VLOOKUP($A11,[13]!Table1[#All],2,0),"-")</f>
        <v>-</v>
      </c>
      <c r="AA11" s="14" t="str">
        <f>IFERROR(VLOOKUP($A11,[13]!Table1[#All],3,0),"-")</f>
        <v>-</v>
      </c>
      <c r="AB11" s="1" t="str">
        <f>IFERROR(VLOOKUP($A11,[14]!Table1[#All],2,0),"-")</f>
        <v>-</v>
      </c>
      <c r="AC11" s="14" t="str">
        <f>IFERROR(VLOOKUP($A11,[14]!Table1[#All],3,0),"-")</f>
        <v>-</v>
      </c>
      <c r="AD11" s="1" t="str">
        <f>IFERROR(VLOOKUP($A11,[15]!Table1[#All],2,0),"-")</f>
        <v>-</v>
      </c>
      <c r="AE11" s="14" t="str">
        <f>IFERROR(VLOOKUP($A11,[15]!Table1[#All],3,0),"-")</f>
        <v>-</v>
      </c>
      <c r="AF11" s="1" t="str">
        <f>IFERROR(VLOOKUP($A11,[16]!Table2[#All],2,0),"-")</f>
        <v>-</v>
      </c>
      <c r="AG11" s="14" t="str">
        <f>IFERROR(VLOOKUP($A11,[16]!Table2[#All],3,0),"-")</f>
        <v>-</v>
      </c>
      <c r="AH11" s="1" t="str">
        <f>IFERROR(VLOOKUP($A11,[17]!Table1[#All],2,0),"-")</f>
        <v>-</v>
      </c>
      <c r="AI11" s="14" t="str">
        <f>IFERROR(VLOOKUP($A11,[17]!Table1[#All],3,0),"-")</f>
        <v>-</v>
      </c>
      <c r="AJ11" s="1" t="str">
        <f>IFERROR(VLOOKUP($A11,[18]!Table1[#All],2,0),"-")</f>
        <v>-</v>
      </c>
      <c r="AK11" s="14" t="str">
        <f>IFERROR(VLOOKUP($A11,[18]!Table1[#All],3,0),"-")</f>
        <v>-</v>
      </c>
      <c r="AL11" s="1" t="str">
        <f>IFERROR(VLOOKUP($A11,[19]!Table1[#All],2,0),"-")</f>
        <v>-</v>
      </c>
      <c r="AM11" s="14" t="str">
        <f>IFERROR(VLOOKUP($A11,[19]!Table1[#All],3,0),"-")</f>
        <v>-</v>
      </c>
      <c r="AN11" s="1" t="str">
        <f>IFERROR(VLOOKUP($A11,[20]!Table1[#All],2,0),"-")</f>
        <v>-</v>
      </c>
      <c r="AO11" s="14" t="str">
        <f>IFERROR(VLOOKUP($A11,[20]!Table1[#All],3,0),"-")</f>
        <v>-</v>
      </c>
      <c r="AP11" s="1" t="str">
        <f>IFERROR(VLOOKUP($A11,[21]!Table2[#All],2,0),"-")</f>
        <v>-</v>
      </c>
      <c r="AQ11" s="14" t="str">
        <f>IFERROR(VLOOKUP($A11,[21]!Table2[#All],3,0),"-")</f>
        <v>-</v>
      </c>
      <c r="AR11" s="1" t="str">
        <f>IFERROR(VLOOKUP($A11,[22]!Table1[#All],2,0),"-")</f>
        <v>-</v>
      </c>
      <c r="AS11" s="14" t="str">
        <f>IFERROR(VLOOKUP($A11,[22]!Table1[#All],3,0),"-")</f>
        <v>-</v>
      </c>
      <c r="AT11" s="1" t="str">
        <f>IFERROR(VLOOKUP($A11,[23]!Table1[#All],2,0),"-")</f>
        <v>-</v>
      </c>
      <c r="AU11" s="14" t="str">
        <f>IFERROR(VLOOKUP($A11,[23]!Table1[#All],3,0),"-")</f>
        <v>-</v>
      </c>
      <c r="AV11" s="1" t="str">
        <f>IFERROR(VLOOKUP($A11,[24]!Table1[#All],2,0),"-")</f>
        <v>-</v>
      </c>
      <c r="AW11" s="14" t="str">
        <f>IFERROR(VLOOKUP($A11,[24]!Table1[#All],3,0),"-")</f>
        <v>-</v>
      </c>
      <c r="AX11" s="1" t="str">
        <f>IFERROR(VLOOKUP($A11,[25]!Table1[#All],2,0),"-")</f>
        <v>-</v>
      </c>
      <c r="AY11" s="14" t="str">
        <f>IFERROR(VLOOKUP($A11,[25]!Table1[#All],3,0),"-")</f>
        <v>-</v>
      </c>
      <c r="AZ11" s="1" t="str">
        <f>IFERROR(VLOOKUP($A11,[26]!Table2[#All],2,0),"-")</f>
        <v>-</v>
      </c>
      <c r="BA11" s="14" t="str">
        <f>IFERROR(VLOOKUP($A11,[26]!Table2[#All],3,0),"-")</f>
        <v>-</v>
      </c>
      <c r="BB11" s="1" t="str">
        <f>IFERROR(VLOOKUP($A11,[27]!Table1[#All],2,0),"-")</f>
        <v>-</v>
      </c>
      <c r="BC11" s="14" t="str">
        <f>IFERROR(VLOOKUP($A11,[27]!Table1[#All],3,0),"-")</f>
        <v>-</v>
      </c>
      <c r="BD11" s="1" t="str">
        <f>IFERROR(VLOOKUP($A11,[28]!Table1[#All],2,0),"-")</f>
        <v>-</v>
      </c>
      <c r="BE11" s="14" t="str">
        <f>IFERROR(VLOOKUP($A11,[28]!Table1[#All],3,0),"-")</f>
        <v>-</v>
      </c>
      <c r="BF11" s="1" t="str">
        <f>IFERROR(VLOOKUP($A11,[29]!Table1[#All],2,0),"-")</f>
        <v>-</v>
      </c>
      <c r="BG11" s="14" t="str">
        <f>IFERROR(VLOOKUP($A11,[29]!Table1[#All],3,0),"-")</f>
        <v>-</v>
      </c>
      <c r="BH11" s="1" t="str">
        <f>IFERROR(VLOOKUP($A11,[30]!Table1[#All],2,0),"-")</f>
        <v>-</v>
      </c>
      <c r="BI11" s="14" t="str">
        <f>IFERROR(VLOOKUP($A11,[30]!Table1[#All],3,0),"-")</f>
        <v>-</v>
      </c>
      <c r="BJ11" s="1" t="str">
        <f>IFERROR(VLOOKUP($A11,[31]!Table1[#All],3,0),"-")</f>
        <v>-</v>
      </c>
      <c r="BK11" s="1" t="str">
        <f>IFERROR(VLOOKUP($A11,[31]!Table1[#All],3,0),"-")</f>
        <v>-</v>
      </c>
      <c r="BL11" s="11">
        <f t="shared" si="27"/>
        <v>0</v>
      </c>
      <c r="BM11" s="10">
        <f t="shared" si="28"/>
        <v>0</v>
      </c>
    </row>
    <row r="12" spans="1:71" x14ac:dyDescent="0.2">
      <c r="A12" s="13" t="s">
        <v>6</v>
      </c>
      <c r="B12" s="1" t="str">
        <f>IFERROR(VLOOKUP($A12,[1]!Table1[#All],2,0),"-")</f>
        <v>-</v>
      </c>
      <c r="C12" s="14" t="str">
        <f>IFERROR(VLOOKUP($A12,[1]!Table1[#All],3,0),"-")</f>
        <v>-</v>
      </c>
      <c r="D12" s="1" t="str">
        <f>IFERROR(VLOOKUP($A12,[2]!Table2[#All],2,0),"-")</f>
        <v>-</v>
      </c>
      <c r="E12" s="14" t="str">
        <f>IFERROR(VLOOKUP($A12,[2]!Table2[#All],3,0),"-")</f>
        <v>-</v>
      </c>
      <c r="F12" s="1" t="str">
        <f>IFERROR(VLOOKUP($A12,[3]!Table1[#All],2,0),"-")</f>
        <v>-</v>
      </c>
      <c r="G12" s="14" t="str">
        <f>IFERROR(VLOOKUP($A12,[3]!Table1[#All],3,0),"-")</f>
        <v>-</v>
      </c>
      <c r="H12" s="1" t="str">
        <f>IFERROR(VLOOKUP($A12,[4]Sheet1!$I$9,3,0),"-")</f>
        <v>-</v>
      </c>
      <c r="I12" s="13" t="str">
        <f>IFERROR(VLOOKUP($A12,[4]Sheet1!$I$9,2,0),"-")</f>
        <v>-</v>
      </c>
      <c r="J12" s="1" t="str">
        <f>IFERROR(VLOOKUP($A12,[5]!Table1[#All],2,0),"-")</f>
        <v>-</v>
      </c>
      <c r="K12" s="14" t="str">
        <f>IFERROR(VLOOKUP($A12,[5]!Table1[#All],3,0),"-")</f>
        <v>-</v>
      </c>
      <c r="L12" s="1" t="str">
        <f>IFERROR(VLOOKUP($A12,[6]!Table1[#All],2,0),"-")</f>
        <v>-</v>
      </c>
      <c r="M12" s="14" t="str">
        <f>IFERROR(VLOOKUP($A12,[6]!Table1[#All],3,0),"-")</f>
        <v>-</v>
      </c>
      <c r="N12" s="1" t="str">
        <f>IFERROR(VLOOKUP($A12,[7]!Table1[#All],2,0),"-")</f>
        <v>-</v>
      </c>
      <c r="O12" s="14" t="str">
        <f>IFERROR(VLOOKUP($A12,[7]!Table1[#All],3,0),"-")</f>
        <v>-</v>
      </c>
      <c r="P12" s="1" t="str">
        <f>IFERROR(VLOOKUP($A12,[8]!Table1[#All],2,0),"-")</f>
        <v>-</v>
      </c>
      <c r="Q12" s="14" t="str">
        <f>IFERROR(VLOOKUP($A12,[8]!Table1[#All],3,0),"-")</f>
        <v>-</v>
      </c>
      <c r="R12" s="1" t="str">
        <f>IFERROR(VLOOKUP($A12,[9]!Table1[#All],2,0),"-")</f>
        <v>-</v>
      </c>
      <c r="S12" s="14" t="str">
        <f>IFERROR(VLOOKUP($A12,[9]!Table1[#All],3,0),"-")</f>
        <v>-</v>
      </c>
      <c r="T12" s="1" t="str">
        <f>IFERROR(VLOOKUP($A12,[10]!Table1[#All],3,0),"-")</f>
        <v>-</v>
      </c>
      <c r="U12" s="14" t="str">
        <f>IFERROR(VLOOKUP($A12,[10]!Table1[#All],2,0),"-")</f>
        <v>-</v>
      </c>
      <c r="V12" s="1" t="str">
        <f>IFERROR(VLOOKUP($A12,[11]!Table1[#All],2,0),"-")</f>
        <v>-</v>
      </c>
      <c r="W12" s="14" t="str">
        <f>IFERROR(VLOOKUP($A12,[11]!Table1[#All],3,0),"-")</f>
        <v>-</v>
      </c>
      <c r="X12" s="1" t="str">
        <f>IFERROR(VLOOKUP($A12,[12]!Table1[#All],2,0),"-")</f>
        <v>-</v>
      </c>
      <c r="Y12" s="14" t="str">
        <f>IFERROR(VLOOKUP($A12,[12]!Table1[#All],3,0),"-")</f>
        <v>-</v>
      </c>
      <c r="Z12" s="1" t="str">
        <f>IFERROR(VLOOKUP($A12,[13]!Table1[#All],2,0),"-")</f>
        <v>-</v>
      </c>
      <c r="AA12" s="14" t="str">
        <f>IFERROR(VLOOKUP($A12,[13]!Table1[#All],3,0),"-")</f>
        <v>-</v>
      </c>
      <c r="AB12" s="1" t="str">
        <f>IFERROR(VLOOKUP($A12,[14]!Table1[#All],2,0),"-")</f>
        <v>-</v>
      </c>
      <c r="AC12" s="14" t="str">
        <f>IFERROR(VLOOKUP($A12,[14]!Table1[#All],3,0),"-")</f>
        <v>-</v>
      </c>
      <c r="AD12" s="1" t="str">
        <f>IFERROR(VLOOKUP($A12,[15]!Table1[#All],2,0),"-")</f>
        <v>-</v>
      </c>
      <c r="AE12" s="14" t="str">
        <f>IFERROR(VLOOKUP($A12,[15]!Table1[#All],3,0),"-")</f>
        <v>-</v>
      </c>
      <c r="AF12" s="1" t="str">
        <f>IFERROR(VLOOKUP($A12,[16]!Table2[#All],2,0),"-")</f>
        <v>-</v>
      </c>
      <c r="AG12" s="14" t="str">
        <f>IFERROR(VLOOKUP($A12,[16]!Table2[#All],3,0),"-")</f>
        <v>-</v>
      </c>
      <c r="AH12" s="1" t="str">
        <f>IFERROR(VLOOKUP($A12,[17]!Table1[#All],2,0),"-")</f>
        <v>-</v>
      </c>
      <c r="AI12" s="14" t="str">
        <f>IFERROR(VLOOKUP($A12,[17]!Table1[#All],3,0),"-")</f>
        <v>-</v>
      </c>
      <c r="AJ12" s="1" t="str">
        <f>IFERROR(VLOOKUP($A12,[18]!Table1[#All],2,0),"-")</f>
        <v>-</v>
      </c>
      <c r="AK12" s="14" t="str">
        <f>IFERROR(VLOOKUP($A12,[18]!Table1[#All],3,0),"-")</f>
        <v>-</v>
      </c>
      <c r="AL12" s="1" t="str">
        <f>IFERROR(VLOOKUP($A12,[19]!Table1[#All],2,0),"-")</f>
        <v>-</v>
      </c>
      <c r="AM12" s="14" t="str">
        <f>IFERROR(VLOOKUP($A12,[19]!Table1[#All],3,0),"-")</f>
        <v>-</v>
      </c>
      <c r="AN12" s="1" t="str">
        <f>IFERROR(VLOOKUP($A12,[20]!Table1[#All],2,0),"-")</f>
        <v>-</v>
      </c>
      <c r="AO12" s="14" t="str">
        <f>IFERROR(VLOOKUP($A12,[20]!Table1[#All],3,0),"-")</f>
        <v>-</v>
      </c>
      <c r="AP12" s="1" t="str">
        <f>IFERROR(VLOOKUP($A12,[21]!Table2[#All],2,0),"-")</f>
        <v>-</v>
      </c>
      <c r="AQ12" s="14" t="str">
        <f>IFERROR(VLOOKUP($A12,[21]!Table2[#All],3,0),"-")</f>
        <v>-</v>
      </c>
      <c r="AR12" s="1" t="str">
        <f>IFERROR(VLOOKUP($A12,[22]!Table1[#All],2,0),"-")</f>
        <v>-</v>
      </c>
      <c r="AS12" s="14" t="str">
        <f>IFERROR(VLOOKUP($A12,[22]!Table1[#All],3,0),"-")</f>
        <v>-</v>
      </c>
      <c r="AT12" s="1" t="str">
        <f>IFERROR(VLOOKUP($A12,[23]!Table1[#All],2,0),"-")</f>
        <v>-</v>
      </c>
      <c r="AU12" s="14" t="str">
        <f>IFERROR(VLOOKUP($A12,[23]!Table1[#All],3,0),"-")</f>
        <v>-</v>
      </c>
      <c r="AV12" s="1" t="str">
        <f>IFERROR(VLOOKUP($A12,[24]!Table1[#All],2,0),"-")</f>
        <v>-</v>
      </c>
      <c r="AW12" s="14" t="str">
        <f>IFERROR(VLOOKUP($A12,[24]!Table1[#All],3,0),"-")</f>
        <v>-</v>
      </c>
      <c r="AX12" s="1" t="str">
        <f>IFERROR(VLOOKUP($A12,[25]!Table1[#All],2,0),"-")</f>
        <v>-</v>
      </c>
      <c r="AY12" s="14" t="str">
        <f>IFERROR(VLOOKUP($A12,[25]!Table1[#All],3,0),"-")</f>
        <v>-</v>
      </c>
      <c r="AZ12" s="1" t="str">
        <f>IFERROR(VLOOKUP($A12,[26]!Table2[#All],2,0),"-")</f>
        <v>-</v>
      </c>
      <c r="BA12" s="14" t="str">
        <f>IFERROR(VLOOKUP($A12,[26]!Table2[#All],3,0),"-")</f>
        <v>-</v>
      </c>
      <c r="BB12" s="1" t="str">
        <f>IFERROR(VLOOKUP($A12,[27]!Table1[#All],2,0),"-")</f>
        <v>-</v>
      </c>
      <c r="BC12" s="14" t="str">
        <f>IFERROR(VLOOKUP($A12,[27]!Table1[#All],3,0),"-")</f>
        <v>-</v>
      </c>
      <c r="BD12" s="1" t="str">
        <f>IFERROR(VLOOKUP($A12,[28]!Table1[#All],2,0),"-")</f>
        <v>-</v>
      </c>
      <c r="BE12" s="14" t="str">
        <f>IFERROR(VLOOKUP($A12,[28]!Table1[#All],3,0),"-")</f>
        <v>-</v>
      </c>
      <c r="BF12" s="1" t="str">
        <f>IFERROR(VLOOKUP($A12,[29]!Table1[#All],2,0),"-")</f>
        <v>-</v>
      </c>
      <c r="BG12" s="14" t="str">
        <f>IFERROR(VLOOKUP($A12,[29]!Table1[#All],3,0),"-")</f>
        <v>-</v>
      </c>
      <c r="BH12" s="1" t="str">
        <f>IFERROR(VLOOKUP($A12,[30]!Table1[#All],2,0),"-")</f>
        <v>-</v>
      </c>
      <c r="BI12" s="14" t="str">
        <f>IFERROR(VLOOKUP($A12,[30]!Table1[#All],3,0),"-")</f>
        <v>-</v>
      </c>
      <c r="BJ12" s="1" t="str">
        <f>IFERROR(VLOOKUP($A12,[31]!Table1[#All],3,0),"-")</f>
        <v>-</v>
      </c>
      <c r="BK12" s="1" t="str">
        <f>IFERROR(VLOOKUP($A12,[31]!Table1[#All],3,0),"-")</f>
        <v>-</v>
      </c>
      <c r="BL12" s="11">
        <f t="shared" si="27"/>
        <v>0</v>
      </c>
      <c r="BM12" s="10">
        <f t="shared" si="28"/>
        <v>0</v>
      </c>
    </row>
    <row r="13" spans="1:71" x14ac:dyDescent="0.2">
      <c r="A13" s="13" t="s">
        <v>1</v>
      </c>
      <c r="B13" s="1" t="str">
        <f>IFERROR(VLOOKUP($A13,[1]!Table1[#All],2,0),"-")</f>
        <v>-</v>
      </c>
      <c r="C13" s="14" t="str">
        <f>IFERROR(VLOOKUP($A13,[1]!Table1[#All],3,0),"-")</f>
        <v>-</v>
      </c>
      <c r="D13" s="1" t="str">
        <f>IFERROR(VLOOKUP($A13,[2]!Table2[#All],2,0),"-")</f>
        <v>-</v>
      </c>
      <c r="E13" s="14" t="str">
        <f>IFERROR(VLOOKUP($A13,[2]!Table2[#All],3,0),"-")</f>
        <v>-</v>
      </c>
      <c r="F13" s="1" t="str">
        <f>IFERROR(VLOOKUP($A13,[3]!Table1[#All],2,0),"-")</f>
        <v>-</v>
      </c>
      <c r="G13" s="14" t="str">
        <f>IFERROR(VLOOKUP($A13,[3]!Table1[#All],3,0),"-")</f>
        <v>-</v>
      </c>
      <c r="H13" s="1" t="str">
        <f>IFERROR(VLOOKUP($A13,[4]Sheet1!$I$9,3,0),"-")</f>
        <v>-</v>
      </c>
      <c r="I13" s="13" t="str">
        <f>IFERROR(VLOOKUP($A13,[4]Sheet1!$I$9,2,0),"-")</f>
        <v>-</v>
      </c>
      <c r="J13" s="1" t="str">
        <f>IFERROR(VLOOKUP($A13,[5]!Table1[#All],2,0),"-")</f>
        <v>-</v>
      </c>
      <c r="K13" s="14" t="str">
        <f>IFERROR(VLOOKUP($A13,[5]!Table1[#All],3,0),"-")</f>
        <v>-</v>
      </c>
      <c r="L13" s="1" t="str">
        <f>IFERROR(VLOOKUP($A13,[6]!Table1[#All],2,0),"-")</f>
        <v>-</v>
      </c>
      <c r="M13" s="14" t="str">
        <f>IFERROR(VLOOKUP($A13,[6]!Table1[#All],3,0),"-")</f>
        <v>-</v>
      </c>
      <c r="N13" s="1" t="str">
        <f>IFERROR(VLOOKUP($A13,[7]!Table1[#All],2,0),"-")</f>
        <v>-</v>
      </c>
      <c r="O13" s="14" t="str">
        <f>IFERROR(VLOOKUP($A13,[7]!Table1[#All],3,0),"-")</f>
        <v>-</v>
      </c>
      <c r="P13" s="1" t="str">
        <f>IFERROR(VLOOKUP($A13,[8]!Table1[#All],2,0),"-")</f>
        <v>-</v>
      </c>
      <c r="Q13" s="14" t="str">
        <f>IFERROR(VLOOKUP($A13,[8]!Table1[#All],3,0),"-")</f>
        <v>-</v>
      </c>
      <c r="R13" s="1" t="str">
        <f>IFERROR(VLOOKUP($A13,[9]!Table1[#All],2,0),"-")</f>
        <v>-</v>
      </c>
      <c r="S13" s="14" t="str">
        <f>IFERROR(VLOOKUP($A13,[9]!Table1[#All],3,0),"-")</f>
        <v>-</v>
      </c>
      <c r="T13" s="1" t="str">
        <f>IFERROR(VLOOKUP($A13,[10]!Table1[#All],3,0),"-")</f>
        <v>-</v>
      </c>
      <c r="U13" s="14" t="str">
        <f>IFERROR(VLOOKUP($A13,[10]!Table1[#All],2,0),"-")</f>
        <v>-</v>
      </c>
      <c r="V13" s="1" t="str">
        <f>IFERROR(VLOOKUP($A13,[11]!Table1[#All],2,0),"-")</f>
        <v>-</v>
      </c>
      <c r="W13" s="14" t="str">
        <f>IFERROR(VLOOKUP($A13,[11]!Table1[#All],3,0),"-")</f>
        <v>-</v>
      </c>
      <c r="X13" s="1" t="str">
        <f>IFERROR(VLOOKUP($A13,[12]!Table1[#All],2,0),"-")</f>
        <v>-</v>
      </c>
      <c r="Y13" s="14" t="str">
        <f>IFERROR(VLOOKUP($A13,[12]!Table1[#All],3,0),"-")</f>
        <v>-</v>
      </c>
      <c r="Z13" s="1" t="str">
        <f>IFERROR(VLOOKUP($A13,[13]!Table1[#All],2,0),"-")</f>
        <v>-</v>
      </c>
      <c r="AA13" s="14" t="str">
        <f>IFERROR(VLOOKUP($A13,[13]!Table1[#All],3,0),"-")</f>
        <v>-</v>
      </c>
      <c r="AB13" s="1" t="str">
        <f>IFERROR(VLOOKUP($A13,[14]!Table1[#All],2,0),"-")</f>
        <v>-</v>
      </c>
      <c r="AC13" s="14" t="str">
        <f>IFERROR(VLOOKUP($A13,[14]!Table1[#All],3,0),"-")</f>
        <v>-</v>
      </c>
      <c r="AD13" s="1" t="str">
        <f>IFERROR(VLOOKUP($A13,[15]!Table1[#All],2,0),"-")</f>
        <v>-</v>
      </c>
      <c r="AE13" s="14" t="str">
        <f>IFERROR(VLOOKUP($A13,[15]!Table1[#All],3,0),"-")</f>
        <v>-</v>
      </c>
      <c r="AF13" s="1" t="str">
        <f>IFERROR(VLOOKUP($A13,[16]!Table2[#All],2,0),"-")</f>
        <v>-</v>
      </c>
      <c r="AG13" s="14" t="str">
        <f>IFERROR(VLOOKUP($A13,[16]!Table2[#All],3,0),"-")</f>
        <v>-</v>
      </c>
      <c r="AH13" s="1" t="str">
        <f>IFERROR(VLOOKUP($A13,[17]!Table1[#All],2,0),"-")</f>
        <v>-</v>
      </c>
      <c r="AI13" s="14" t="str">
        <f>IFERROR(VLOOKUP($A13,[17]!Table1[#All],3,0),"-")</f>
        <v>-</v>
      </c>
      <c r="AJ13" s="1" t="str">
        <f>IFERROR(VLOOKUP($A13,[18]!Table1[#All],2,0),"-")</f>
        <v>-</v>
      </c>
      <c r="AK13" s="14" t="str">
        <f>IFERROR(VLOOKUP($A13,[18]!Table1[#All],3,0),"-")</f>
        <v>-</v>
      </c>
      <c r="AL13" s="1" t="str">
        <f>IFERROR(VLOOKUP($A13,[19]!Table1[#All],2,0),"-")</f>
        <v>-</v>
      </c>
      <c r="AM13" s="14" t="str">
        <f>IFERROR(VLOOKUP($A13,[19]!Table1[#All],3,0),"-")</f>
        <v>-</v>
      </c>
      <c r="AN13" s="1" t="str">
        <f>IFERROR(VLOOKUP($A13,[20]!Table1[#All],2,0),"-")</f>
        <v>-</v>
      </c>
      <c r="AO13" s="14" t="str">
        <f>IFERROR(VLOOKUP($A13,[20]!Table1[#All],3,0),"-")</f>
        <v>-</v>
      </c>
      <c r="AP13" s="1" t="str">
        <f>IFERROR(VLOOKUP($A13,[21]!Table2[#All],2,0),"-")</f>
        <v>-</v>
      </c>
      <c r="AQ13" s="14" t="str">
        <f>IFERROR(VLOOKUP($A13,[21]!Table2[#All],3,0),"-")</f>
        <v>-</v>
      </c>
      <c r="AR13" s="1" t="str">
        <f>IFERROR(VLOOKUP($A13,[22]!Table1[#All],2,0),"-")</f>
        <v>-</v>
      </c>
      <c r="AS13" s="14" t="str">
        <f>IFERROR(VLOOKUP($A13,[22]!Table1[#All],3,0),"-")</f>
        <v>-</v>
      </c>
      <c r="AT13" s="1" t="str">
        <f>IFERROR(VLOOKUP($A13,[23]!Table1[#All],2,0),"-")</f>
        <v>-</v>
      </c>
      <c r="AU13" s="14" t="str">
        <f>IFERROR(VLOOKUP($A13,[23]!Table1[#All],3,0),"-")</f>
        <v>-</v>
      </c>
      <c r="AV13" s="1" t="str">
        <f>IFERROR(VLOOKUP($A13,[24]!Table1[#All],2,0),"-")</f>
        <v>-</v>
      </c>
      <c r="AW13" s="14" t="str">
        <f>IFERROR(VLOOKUP($A13,[24]!Table1[#All],3,0),"-")</f>
        <v>-</v>
      </c>
      <c r="AX13" s="1" t="str">
        <f>IFERROR(VLOOKUP($A13,[25]!Table1[#All],2,0),"-")</f>
        <v>-</v>
      </c>
      <c r="AY13" s="14" t="str">
        <f>IFERROR(VLOOKUP($A13,[25]!Table1[#All],3,0),"-")</f>
        <v>-</v>
      </c>
      <c r="AZ13" s="1" t="str">
        <f>IFERROR(VLOOKUP($A13,[26]!Table2[#All],2,0),"-")</f>
        <v>-</v>
      </c>
      <c r="BA13" s="14" t="str">
        <f>IFERROR(VLOOKUP($A13,[26]!Table2[#All],3,0),"-")</f>
        <v>-</v>
      </c>
      <c r="BB13" s="1" t="str">
        <f>IFERROR(VLOOKUP($A13,[27]!Table1[#All],2,0),"-")</f>
        <v>-</v>
      </c>
      <c r="BC13" s="14" t="str">
        <f>IFERROR(VLOOKUP($A13,[27]!Table1[#All],3,0),"-")</f>
        <v>-</v>
      </c>
      <c r="BD13" s="1" t="str">
        <f>IFERROR(VLOOKUP($A13,[28]!Table1[#All],2,0),"-")</f>
        <v>-</v>
      </c>
      <c r="BE13" s="14" t="str">
        <f>IFERROR(VLOOKUP($A13,[28]!Table1[#All],3,0),"-")</f>
        <v>-</v>
      </c>
      <c r="BF13" s="1" t="str">
        <f>IFERROR(VLOOKUP($A13,[29]!Table1[#All],2,0),"-")</f>
        <v>-</v>
      </c>
      <c r="BG13" s="14" t="str">
        <f>IFERROR(VLOOKUP($A13,[29]!Table1[#All],3,0),"-")</f>
        <v>-</v>
      </c>
      <c r="BH13" s="1" t="str">
        <f>IFERROR(VLOOKUP($A13,[30]!Table1[#All],2,0),"-")</f>
        <v>-</v>
      </c>
      <c r="BI13" s="14" t="str">
        <f>IFERROR(VLOOKUP($A13,[30]!Table1[#All],3,0),"-")</f>
        <v>-</v>
      </c>
      <c r="BJ13" s="1" t="str">
        <f>IFERROR(VLOOKUP($A13,[31]!Table1[#All],3,0),"-")</f>
        <v>-</v>
      </c>
      <c r="BK13" s="1" t="str">
        <f>IFERROR(VLOOKUP($A13,[31]!Table1[#All],3,0),"-")</f>
        <v>-</v>
      </c>
      <c r="BL13" s="11">
        <f t="shared" si="27"/>
        <v>0</v>
      </c>
      <c r="BM13" s="10">
        <f t="shared" si="28"/>
        <v>0</v>
      </c>
    </row>
    <row r="14" spans="1:71" x14ac:dyDescent="0.2">
      <c r="A14" s="13" t="s">
        <v>11</v>
      </c>
      <c r="B14" s="1" t="str">
        <f>IFERROR(VLOOKUP($A14,[1]!Table1[#All],2,0),"-")</f>
        <v>-</v>
      </c>
      <c r="C14" s="14" t="str">
        <f>IFERROR(VLOOKUP($A14,[1]!Table1[#All],3,0),"-")</f>
        <v>-</v>
      </c>
      <c r="D14" s="1" t="str">
        <f>IFERROR(VLOOKUP($A14,[2]!Table2[#All],2,0),"-")</f>
        <v>-</v>
      </c>
      <c r="E14" s="14" t="str">
        <f>IFERROR(VLOOKUP($A14,[2]!Table2[#All],3,0),"-")</f>
        <v>-</v>
      </c>
      <c r="F14" s="1" t="str">
        <f>IFERROR(VLOOKUP($A14,[3]!Table1[#All],2,0),"-")</f>
        <v>-</v>
      </c>
      <c r="G14" s="14" t="str">
        <f>IFERROR(VLOOKUP($A14,[3]!Table1[#All],3,0),"-")</f>
        <v>-</v>
      </c>
      <c r="H14" s="1" t="str">
        <f>IFERROR(VLOOKUP($A14,[4]Sheet1!$I$9,3,0),"-")</f>
        <v>-</v>
      </c>
      <c r="I14" s="13" t="str">
        <f>IFERROR(VLOOKUP($A14,[4]Sheet1!$I$9,2,0),"-")</f>
        <v>-</v>
      </c>
      <c r="J14" s="1" t="str">
        <f>IFERROR(VLOOKUP($A14,[5]!Table1[#All],2,0),"-")</f>
        <v>-</v>
      </c>
      <c r="K14" s="14" t="str">
        <f>IFERROR(VLOOKUP($A14,[5]!Table1[#All],3,0),"-")</f>
        <v>-</v>
      </c>
      <c r="L14" s="1" t="str">
        <f>IFERROR(VLOOKUP($A14,[6]!Table1[#All],2,0),"-")</f>
        <v>-</v>
      </c>
      <c r="M14" s="14" t="str">
        <f>IFERROR(VLOOKUP($A14,[6]!Table1[#All],3,0),"-")</f>
        <v>-</v>
      </c>
      <c r="N14" s="1" t="str">
        <f>IFERROR(VLOOKUP($A14,[7]!Table1[#All],2,0),"-")</f>
        <v>-</v>
      </c>
      <c r="O14" s="14" t="str">
        <f>IFERROR(VLOOKUP($A14,[7]!Table1[#All],3,0),"-")</f>
        <v>-</v>
      </c>
      <c r="P14" s="1" t="str">
        <f>IFERROR(VLOOKUP($A14,[8]!Table1[#All],2,0),"-")</f>
        <v>-</v>
      </c>
      <c r="Q14" s="14" t="str">
        <f>IFERROR(VLOOKUP($A14,[8]!Table1[#All],3,0),"-")</f>
        <v>-</v>
      </c>
      <c r="R14" s="1" t="str">
        <f>IFERROR(VLOOKUP($A14,[9]!Table1[#All],2,0),"-")</f>
        <v>-</v>
      </c>
      <c r="S14" s="14" t="str">
        <f>IFERROR(VLOOKUP($A14,[9]!Table1[#All],3,0),"-")</f>
        <v>-</v>
      </c>
      <c r="T14" s="1" t="str">
        <f>IFERROR(VLOOKUP($A14,[10]!Table1[#All],3,0),"-")</f>
        <v>-</v>
      </c>
      <c r="U14" s="14" t="str">
        <f>IFERROR(VLOOKUP($A14,[10]!Table1[#All],2,0),"-")</f>
        <v>-</v>
      </c>
      <c r="V14" s="1" t="str">
        <f>IFERROR(VLOOKUP($A14,[11]!Table1[#All],2,0),"-")</f>
        <v>-</v>
      </c>
      <c r="W14" s="14" t="str">
        <f>IFERROR(VLOOKUP($A14,[11]!Table1[#All],3,0),"-")</f>
        <v>-</v>
      </c>
      <c r="X14" s="1" t="str">
        <f>IFERROR(VLOOKUP($A14,[12]!Table1[#All],2,0),"-")</f>
        <v>-</v>
      </c>
      <c r="Y14" s="14" t="str">
        <f>IFERROR(VLOOKUP($A14,[12]!Table1[#All],3,0),"-")</f>
        <v>-</v>
      </c>
      <c r="Z14" s="1" t="str">
        <f>IFERROR(VLOOKUP($A14,[13]!Table1[#All],2,0),"-")</f>
        <v>-</v>
      </c>
      <c r="AA14" s="14" t="str">
        <f>IFERROR(VLOOKUP($A14,[13]!Table1[#All],3,0),"-")</f>
        <v>-</v>
      </c>
      <c r="AB14" s="1" t="str">
        <f>IFERROR(VLOOKUP($A14,[14]!Table1[#All],2,0),"-")</f>
        <v>-</v>
      </c>
      <c r="AC14" s="14" t="str">
        <f>IFERROR(VLOOKUP($A14,[14]!Table1[#All],3,0),"-")</f>
        <v>-</v>
      </c>
      <c r="AD14" s="1" t="str">
        <f>IFERROR(VLOOKUP($A14,[15]!Table1[#All],2,0),"-")</f>
        <v>-</v>
      </c>
      <c r="AE14" s="14" t="str">
        <f>IFERROR(VLOOKUP($A14,[15]!Table1[#All],3,0),"-")</f>
        <v>-</v>
      </c>
      <c r="AF14" s="1" t="str">
        <f>IFERROR(VLOOKUP($A14,[16]!Table2[#All],2,0),"-")</f>
        <v>-</v>
      </c>
      <c r="AG14" s="14" t="str">
        <f>IFERROR(VLOOKUP($A14,[16]!Table2[#All],3,0),"-")</f>
        <v>-</v>
      </c>
      <c r="AH14" s="1" t="str">
        <f>IFERROR(VLOOKUP($A14,[17]!Table1[#All],2,0),"-")</f>
        <v>-</v>
      </c>
      <c r="AI14" s="14" t="str">
        <f>IFERROR(VLOOKUP($A14,[17]!Table1[#All],3,0),"-")</f>
        <v>-</v>
      </c>
      <c r="AJ14" s="1" t="str">
        <f>IFERROR(VLOOKUP($A14,[18]!Table1[#All],2,0),"-")</f>
        <v>-</v>
      </c>
      <c r="AK14" s="14" t="str">
        <f>IFERROR(VLOOKUP($A14,[18]!Table1[#All],3,0),"-")</f>
        <v>-</v>
      </c>
      <c r="AL14" s="1" t="str">
        <f>IFERROR(VLOOKUP($A14,[19]!Table1[#All],2,0),"-")</f>
        <v>-</v>
      </c>
      <c r="AM14" s="14" t="str">
        <f>IFERROR(VLOOKUP($A14,[19]!Table1[#All],3,0),"-")</f>
        <v>-</v>
      </c>
      <c r="AN14" s="1" t="str">
        <f>IFERROR(VLOOKUP($A14,[20]!Table1[#All],2,0),"-")</f>
        <v>-</v>
      </c>
      <c r="AO14" s="14" t="str">
        <f>IFERROR(VLOOKUP($A14,[20]!Table1[#All],3,0),"-")</f>
        <v>-</v>
      </c>
      <c r="AP14" s="1" t="str">
        <f>IFERROR(VLOOKUP($A14,[21]!Table2[#All],2,0),"-")</f>
        <v>-</v>
      </c>
      <c r="AQ14" s="14" t="str">
        <f>IFERROR(VLOOKUP($A14,[21]!Table2[#All],3,0),"-")</f>
        <v>-</v>
      </c>
      <c r="AR14" s="1" t="str">
        <f>IFERROR(VLOOKUP($A14,[22]!Table1[#All],2,0),"-")</f>
        <v>-</v>
      </c>
      <c r="AS14" s="14" t="str">
        <f>IFERROR(VLOOKUP($A14,[22]!Table1[#All],3,0),"-")</f>
        <v>-</v>
      </c>
      <c r="AT14" s="1" t="str">
        <f>IFERROR(VLOOKUP($A14,[23]!Table1[#All],2,0),"-")</f>
        <v>-</v>
      </c>
      <c r="AU14" s="14" t="str">
        <f>IFERROR(VLOOKUP($A14,[23]!Table1[#All],3,0),"-")</f>
        <v>-</v>
      </c>
      <c r="AV14" s="1" t="str">
        <f>IFERROR(VLOOKUP($A14,[24]!Table1[#All],2,0),"-")</f>
        <v>-</v>
      </c>
      <c r="AW14" s="14" t="str">
        <f>IFERROR(VLOOKUP($A14,[24]!Table1[#All],3,0),"-")</f>
        <v>-</v>
      </c>
      <c r="AX14" s="1" t="str">
        <f>IFERROR(VLOOKUP($A14,[25]!Table1[#All],2,0),"-")</f>
        <v>-</v>
      </c>
      <c r="AY14" s="14" t="str">
        <f>IFERROR(VLOOKUP($A14,[25]!Table1[#All],3,0),"-")</f>
        <v>-</v>
      </c>
      <c r="AZ14" s="1" t="str">
        <f>IFERROR(VLOOKUP($A14,[26]!Table2[#All],2,0),"-")</f>
        <v>-</v>
      </c>
      <c r="BA14" s="14" t="str">
        <f>IFERROR(VLOOKUP($A14,[26]!Table2[#All],3,0),"-")</f>
        <v>-</v>
      </c>
      <c r="BB14" s="1" t="str">
        <f>IFERROR(VLOOKUP($A14,[27]!Table1[#All],2,0),"-")</f>
        <v>-</v>
      </c>
      <c r="BC14" s="14" t="str">
        <f>IFERROR(VLOOKUP($A14,[27]!Table1[#All],3,0),"-")</f>
        <v>-</v>
      </c>
      <c r="BD14" s="1" t="str">
        <f>IFERROR(VLOOKUP($A14,[28]!Table1[#All],2,0),"-")</f>
        <v>-</v>
      </c>
      <c r="BE14" s="14" t="str">
        <f>IFERROR(VLOOKUP($A14,[28]!Table1[#All],3,0),"-")</f>
        <v>-</v>
      </c>
      <c r="BF14" s="1" t="str">
        <f>IFERROR(VLOOKUP($A14,[29]!Table1[#All],2,0),"-")</f>
        <v>-</v>
      </c>
      <c r="BG14" s="14" t="str">
        <f>IFERROR(VLOOKUP($A14,[29]!Table1[#All],3,0),"-")</f>
        <v>-</v>
      </c>
      <c r="BH14" s="1" t="str">
        <f>IFERROR(VLOOKUP($A14,[30]!Table1[#All],2,0),"-")</f>
        <v>-</v>
      </c>
      <c r="BI14" s="14" t="str">
        <f>IFERROR(VLOOKUP($A14,[30]!Table1[#All],3,0),"-")</f>
        <v>-</v>
      </c>
      <c r="BJ14" s="1" t="str">
        <f>IFERROR(VLOOKUP($A14,[31]!Table1[#All],3,0),"-")</f>
        <v>-</v>
      </c>
      <c r="BK14" s="1" t="str">
        <f>IFERROR(VLOOKUP($A14,[31]!Table1[#All],3,0),"-")</f>
        <v>-</v>
      </c>
      <c r="BL14" s="11">
        <f t="shared" si="27"/>
        <v>0</v>
      </c>
      <c r="BM14" s="10">
        <f t="shared" si="28"/>
        <v>0</v>
      </c>
    </row>
    <row r="15" spans="1:71" x14ac:dyDescent="0.2">
      <c r="A15" s="13" t="s">
        <v>16</v>
      </c>
      <c r="B15" s="1" t="str">
        <f>IFERROR(VLOOKUP($A15,[1]!Table1[#All],2,0),"-")</f>
        <v>-</v>
      </c>
      <c r="C15" s="14" t="str">
        <f>IFERROR(VLOOKUP($A15,[1]!Table1[#All],3,0),"-")</f>
        <v>-</v>
      </c>
      <c r="D15" s="1" t="str">
        <f>IFERROR(VLOOKUP($A15,[2]!Table2[#All],2,0),"-")</f>
        <v>-</v>
      </c>
      <c r="E15" s="14" t="str">
        <f>IFERROR(VLOOKUP($A15,[2]!Table2[#All],3,0),"-")</f>
        <v>-</v>
      </c>
      <c r="F15" s="1" t="str">
        <f>IFERROR(VLOOKUP($A15,[3]!Table1[#All],2,0),"-")</f>
        <v>-</v>
      </c>
      <c r="G15" s="14" t="str">
        <f>IFERROR(VLOOKUP($A15,[3]!Table1[#All],3,0),"-")</f>
        <v>-</v>
      </c>
      <c r="H15" s="1" t="str">
        <f>IFERROR(VLOOKUP($A15,[4]Sheet1!$I$9,3,0),"-")</f>
        <v>-</v>
      </c>
      <c r="I15" s="13" t="str">
        <f>IFERROR(VLOOKUP($A15,[4]Sheet1!$I$9,2,0),"-")</f>
        <v>-</v>
      </c>
      <c r="J15" s="1" t="str">
        <f>IFERROR(VLOOKUP($A15,[5]!Table1[#All],2,0),"-")</f>
        <v>-</v>
      </c>
      <c r="K15" s="14" t="str">
        <f>IFERROR(VLOOKUP($A15,[5]!Table1[#All],3,0),"-")</f>
        <v>-</v>
      </c>
      <c r="L15" s="1" t="str">
        <f>IFERROR(VLOOKUP($A15,[6]!Table1[#All],2,0),"-")</f>
        <v>-</v>
      </c>
      <c r="M15" s="14" t="str">
        <f>IFERROR(VLOOKUP($A15,[6]!Table1[#All],3,0),"-")</f>
        <v>-</v>
      </c>
      <c r="N15" s="1" t="str">
        <f>IFERROR(VLOOKUP($A15,[7]!Table1[#All],2,0),"-")</f>
        <v>-</v>
      </c>
      <c r="O15" s="14" t="str">
        <f>IFERROR(VLOOKUP($A15,[7]!Table1[#All],3,0),"-")</f>
        <v>-</v>
      </c>
      <c r="P15" s="1" t="str">
        <f>IFERROR(VLOOKUP($A15,[8]!Table1[#All],2,0),"-")</f>
        <v>-</v>
      </c>
      <c r="Q15" s="14" t="str">
        <f>IFERROR(VLOOKUP($A15,[8]!Table1[#All],3,0),"-")</f>
        <v>-</v>
      </c>
      <c r="R15" s="1" t="str">
        <f>IFERROR(VLOOKUP($A15,[9]!Table1[#All],2,0),"-")</f>
        <v>-</v>
      </c>
      <c r="S15" s="14" t="str">
        <f>IFERROR(VLOOKUP($A15,[9]!Table1[#All],3,0),"-")</f>
        <v>-</v>
      </c>
      <c r="T15" s="1" t="str">
        <f>IFERROR(VLOOKUP($A15,[10]!Table1[#All],3,0),"-")</f>
        <v>-</v>
      </c>
      <c r="U15" s="14" t="str">
        <f>IFERROR(VLOOKUP($A15,[10]!Table1[#All],2,0),"-")</f>
        <v>-</v>
      </c>
      <c r="V15" s="1" t="str">
        <f>IFERROR(VLOOKUP($A15,[11]!Table1[#All],2,0),"-")</f>
        <v>-</v>
      </c>
      <c r="W15" s="14" t="str">
        <f>IFERROR(VLOOKUP($A15,[11]!Table1[#All],3,0),"-")</f>
        <v>-</v>
      </c>
      <c r="X15" s="1" t="str">
        <f>IFERROR(VLOOKUP($A15,[12]!Table1[#All],2,0),"-")</f>
        <v>-</v>
      </c>
      <c r="Y15" s="14" t="str">
        <f>IFERROR(VLOOKUP($A15,[12]!Table1[#All],3,0),"-")</f>
        <v>-</v>
      </c>
      <c r="Z15" s="1" t="str">
        <f>IFERROR(VLOOKUP($A15,[13]!Table1[#All],2,0),"-")</f>
        <v>-</v>
      </c>
      <c r="AA15" s="14" t="str">
        <f>IFERROR(VLOOKUP($A15,[13]!Table1[#All],3,0),"-")</f>
        <v>-</v>
      </c>
      <c r="AB15" s="1" t="str">
        <f>IFERROR(VLOOKUP($A15,[14]!Table1[#All],2,0),"-")</f>
        <v>-</v>
      </c>
      <c r="AC15" s="14" t="str">
        <f>IFERROR(VLOOKUP($A15,[14]!Table1[#All],3,0),"-")</f>
        <v>-</v>
      </c>
      <c r="AD15" s="1" t="str">
        <f>IFERROR(VLOOKUP($A15,[15]!Table1[#All],2,0),"-")</f>
        <v>-</v>
      </c>
      <c r="AE15" s="14" t="str">
        <f>IFERROR(VLOOKUP($A15,[15]!Table1[#All],3,0),"-")</f>
        <v>-</v>
      </c>
      <c r="AF15" s="1" t="str">
        <f>IFERROR(VLOOKUP($A15,[16]!Table2[#All],2,0),"-")</f>
        <v>-</v>
      </c>
      <c r="AG15" s="14" t="str">
        <f>IFERROR(VLOOKUP($A15,[16]!Table2[#All],3,0),"-")</f>
        <v>-</v>
      </c>
      <c r="AH15" s="1" t="str">
        <f>IFERROR(VLOOKUP($A15,[17]!Table1[#All],2,0),"-")</f>
        <v>-</v>
      </c>
      <c r="AI15" s="14" t="str">
        <f>IFERROR(VLOOKUP($A15,[17]!Table1[#All],3,0),"-")</f>
        <v>-</v>
      </c>
      <c r="AJ15" s="1" t="str">
        <f>IFERROR(VLOOKUP($A15,[18]!Table1[#All],2,0),"-")</f>
        <v>-</v>
      </c>
      <c r="AK15" s="14" t="str">
        <f>IFERROR(VLOOKUP($A15,[18]!Table1[#All],3,0),"-")</f>
        <v>-</v>
      </c>
      <c r="AL15" s="1" t="str">
        <f>IFERROR(VLOOKUP($A15,[19]!Table1[#All],2,0),"-")</f>
        <v>-</v>
      </c>
      <c r="AM15" s="14" t="str">
        <f>IFERROR(VLOOKUP($A15,[19]!Table1[#All],3,0),"-")</f>
        <v>-</v>
      </c>
      <c r="AN15" s="1" t="str">
        <f>IFERROR(VLOOKUP($A15,[20]!Table1[#All],2,0),"-")</f>
        <v>-</v>
      </c>
      <c r="AO15" s="14" t="str">
        <f>IFERROR(VLOOKUP($A15,[20]!Table1[#All],3,0),"-")</f>
        <v>-</v>
      </c>
      <c r="AP15" s="1" t="str">
        <f>IFERROR(VLOOKUP($A15,[21]!Table2[#All],2,0),"-")</f>
        <v>-</v>
      </c>
      <c r="AQ15" s="14" t="str">
        <f>IFERROR(VLOOKUP($A15,[21]!Table2[#All],3,0),"-")</f>
        <v>-</v>
      </c>
      <c r="AR15" s="1" t="str">
        <f>IFERROR(VLOOKUP($A15,[22]!Table1[#All],2,0),"-")</f>
        <v>-</v>
      </c>
      <c r="AS15" s="14" t="str">
        <f>IFERROR(VLOOKUP($A15,[22]!Table1[#All],3,0),"-")</f>
        <v>-</v>
      </c>
      <c r="AT15" s="1" t="str">
        <f>IFERROR(VLOOKUP($A15,[23]!Table1[#All],2,0),"-")</f>
        <v>-</v>
      </c>
      <c r="AU15" s="14" t="str">
        <f>IFERROR(VLOOKUP($A15,[23]!Table1[#All],3,0),"-")</f>
        <v>-</v>
      </c>
      <c r="AV15" s="1" t="str">
        <f>IFERROR(VLOOKUP($A15,[24]!Table1[#All],2,0),"-")</f>
        <v>-</v>
      </c>
      <c r="AW15" s="14" t="str">
        <f>IFERROR(VLOOKUP($A15,[24]!Table1[#All],3,0),"-")</f>
        <v>-</v>
      </c>
      <c r="AX15" s="1" t="str">
        <f>IFERROR(VLOOKUP($A15,[25]!Table1[#All],2,0),"-")</f>
        <v>-</v>
      </c>
      <c r="AY15" s="14" t="str">
        <f>IFERROR(VLOOKUP($A15,[25]!Table1[#All],3,0),"-")</f>
        <v>-</v>
      </c>
      <c r="AZ15" s="1" t="str">
        <f>IFERROR(VLOOKUP($A15,[26]!Table2[#All],2,0),"-")</f>
        <v>-</v>
      </c>
      <c r="BA15" s="14" t="str">
        <f>IFERROR(VLOOKUP($A15,[26]!Table2[#All],3,0),"-")</f>
        <v>-</v>
      </c>
      <c r="BB15" s="1" t="str">
        <f>IFERROR(VLOOKUP($A15,[27]!Table1[#All],2,0),"-")</f>
        <v>-</v>
      </c>
      <c r="BC15" s="14" t="str">
        <f>IFERROR(VLOOKUP($A15,[27]!Table1[#All],3,0),"-")</f>
        <v>-</v>
      </c>
      <c r="BD15" s="1" t="str">
        <f>IFERROR(VLOOKUP($A15,[28]!Table1[#All],2,0),"-")</f>
        <v>-</v>
      </c>
      <c r="BE15" s="14" t="str">
        <f>IFERROR(VLOOKUP($A15,[28]!Table1[#All],3,0),"-")</f>
        <v>-</v>
      </c>
      <c r="BF15" s="1" t="str">
        <f>IFERROR(VLOOKUP($A15,[29]!Table1[#All],2,0),"-")</f>
        <v>-</v>
      </c>
      <c r="BG15" s="14" t="str">
        <f>IFERROR(VLOOKUP($A15,[29]!Table1[#All],3,0),"-")</f>
        <v>-</v>
      </c>
      <c r="BH15" s="1" t="str">
        <f>IFERROR(VLOOKUP($A15,[30]!Table1[#All],2,0),"-")</f>
        <v>-</v>
      </c>
      <c r="BI15" s="14" t="str">
        <f>IFERROR(VLOOKUP($A15,[30]!Table1[#All],3,0),"-")</f>
        <v>-</v>
      </c>
      <c r="BJ15" s="1" t="str">
        <f>IFERROR(VLOOKUP($A15,[31]!Table1[#All],3,0),"-")</f>
        <v>-</v>
      </c>
      <c r="BK15" s="1" t="str">
        <f>IFERROR(VLOOKUP($A15,[31]!Table1[#All],3,0),"-")</f>
        <v>-</v>
      </c>
      <c r="BL15" s="11">
        <f t="shared" si="27"/>
        <v>0</v>
      </c>
      <c r="BM15" s="10">
        <f t="shared" si="28"/>
        <v>0</v>
      </c>
    </row>
    <row r="16" spans="1:71" x14ac:dyDescent="0.2">
      <c r="A16" s="13" t="s">
        <v>0</v>
      </c>
      <c r="B16" s="1" t="str">
        <f>IFERROR(VLOOKUP($A16,[1]!Table1[#All],2,0),"-")</f>
        <v>-</v>
      </c>
      <c r="C16" s="14" t="str">
        <f>IFERROR(VLOOKUP($A16,[1]!Table1[#All],3,0),"-")</f>
        <v>-</v>
      </c>
      <c r="D16" s="1" t="str">
        <f>IFERROR(VLOOKUP($A16,[2]!Table2[#All],2,0),"-")</f>
        <v>-</v>
      </c>
      <c r="E16" s="14" t="str">
        <f>IFERROR(VLOOKUP($A16,[2]!Table2[#All],3,0),"-")</f>
        <v>-</v>
      </c>
      <c r="F16" s="1" t="str">
        <f>IFERROR(VLOOKUP($A16,[3]!Table1[#All],2,0),"-")</f>
        <v>-</v>
      </c>
      <c r="G16" s="14" t="str">
        <f>IFERROR(VLOOKUP($A16,[3]!Table1[#All],3,0),"-")</f>
        <v>-</v>
      </c>
      <c r="H16" s="1" t="str">
        <f>IFERROR(VLOOKUP($A16,[4]Sheet1!$I$9,3,0),"-")</f>
        <v>-</v>
      </c>
      <c r="I16" s="13" t="str">
        <f>IFERROR(VLOOKUP($A16,[4]Sheet1!$I$9,2,0),"-")</f>
        <v>-</v>
      </c>
      <c r="J16" s="1" t="str">
        <f>IFERROR(VLOOKUP($A16,[5]!Table1[#All],2,0),"-")</f>
        <v>-</v>
      </c>
      <c r="K16" s="14" t="str">
        <f>IFERROR(VLOOKUP($A16,[5]!Table1[#All],3,0),"-")</f>
        <v>-</v>
      </c>
      <c r="L16" s="1" t="str">
        <f>IFERROR(VLOOKUP($A16,[6]!Table1[#All],2,0),"-")</f>
        <v>-</v>
      </c>
      <c r="M16" s="14" t="str">
        <f>IFERROR(VLOOKUP($A16,[6]!Table1[#All],3,0),"-")</f>
        <v>-</v>
      </c>
      <c r="N16" s="1" t="str">
        <f>IFERROR(VLOOKUP($A16,[7]!Table1[#All],2,0),"-")</f>
        <v>-</v>
      </c>
      <c r="O16" s="14" t="str">
        <f>IFERROR(VLOOKUP($A16,[7]!Table1[#All],3,0),"-")</f>
        <v>-</v>
      </c>
      <c r="P16" s="1" t="str">
        <f>IFERROR(VLOOKUP($A16,[8]!Table1[#All],2,0),"-")</f>
        <v>-</v>
      </c>
      <c r="Q16" s="14" t="str">
        <f>IFERROR(VLOOKUP($A16,[8]!Table1[#All],3,0),"-")</f>
        <v>-</v>
      </c>
      <c r="R16" s="1" t="str">
        <f>IFERROR(VLOOKUP($A16,[9]!Table1[#All],2,0),"-")</f>
        <v>-</v>
      </c>
      <c r="S16" s="14" t="str">
        <f>IFERROR(VLOOKUP($A16,[9]!Table1[#All],3,0),"-")</f>
        <v>-</v>
      </c>
      <c r="T16" s="1" t="str">
        <f>IFERROR(VLOOKUP($A16,[10]!Table1[#All],3,0),"-")</f>
        <v>-</v>
      </c>
      <c r="U16" s="14" t="str">
        <f>IFERROR(VLOOKUP($A16,[10]!Table1[#All],2,0),"-")</f>
        <v>-</v>
      </c>
      <c r="V16" s="1" t="str">
        <f>IFERROR(VLOOKUP($A16,[11]!Table1[#All],2,0),"-")</f>
        <v>-</v>
      </c>
      <c r="W16" s="14" t="str">
        <f>IFERROR(VLOOKUP($A16,[11]!Table1[#All],3,0),"-")</f>
        <v>-</v>
      </c>
      <c r="X16" s="1" t="str">
        <f>IFERROR(VLOOKUP($A16,[12]!Table1[#All],2,0),"-")</f>
        <v>-</v>
      </c>
      <c r="Y16" s="14" t="str">
        <f>IFERROR(VLOOKUP($A16,[12]!Table1[#All],3,0),"-")</f>
        <v>-</v>
      </c>
      <c r="Z16" s="1" t="str">
        <f>IFERROR(VLOOKUP($A16,[13]!Table1[#All],2,0),"-")</f>
        <v>-</v>
      </c>
      <c r="AA16" s="14" t="str">
        <f>IFERROR(VLOOKUP($A16,[13]!Table1[#All],3,0),"-")</f>
        <v>-</v>
      </c>
      <c r="AB16" s="1" t="str">
        <f>IFERROR(VLOOKUP($A16,[14]!Table1[#All],2,0),"-")</f>
        <v>-</v>
      </c>
      <c r="AC16" s="14" t="str">
        <f>IFERROR(VLOOKUP($A16,[14]!Table1[#All],3,0),"-")</f>
        <v>-</v>
      </c>
      <c r="AD16" s="1" t="str">
        <f>IFERROR(VLOOKUP($A16,[15]!Table1[#All],2,0),"-")</f>
        <v>-</v>
      </c>
      <c r="AE16" s="14" t="str">
        <f>IFERROR(VLOOKUP($A16,[15]!Table1[#All],3,0),"-")</f>
        <v>-</v>
      </c>
      <c r="AF16" s="1" t="str">
        <f>IFERROR(VLOOKUP($A16,[16]!Table2[#All],2,0),"-")</f>
        <v>-</v>
      </c>
      <c r="AG16" s="14" t="str">
        <f>IFERROR(VLOOKUP($A16,[16]!Table2[#All],3,0),"-")</f>
        <v>-</v>
      </c>
      <c r="AH16" s="1" t="str">
        <f>IFERROR(VLOOKUP($A16,[17]!Table1[#All],2,0),"-")</f>
        <v>-</v>
      </c>
      <c r="AI16" s="14" t="str">
        <f>IFERROR(VLOOKUP($A16,[17]!Table1[#All],3,0),"-")</f>
        <v>-</v>
      </c>
      <c r="AJ16" s="1" t="str">
        <f>IFERROR(VLOOKUP($A16,[18]!Table1[#All],2,0),"-")</f>
        <v>-</v>
      </c>
      <c r="AK16" s="14" t="str">
        <f>IFERROR(VLOOKUP($A16,[18]!Table1[#All],3,0),"-")</f>
        <v>-</v>
      </c>
      <c r="AL16" s="1" t="str">
        <f>IFERROR(VLOOKUP($A16,[19]!Table1[#All],2,0),"-")</f>
        <v>-</v>
      </c>
      <c r="AM16" s="14" t="str">
        <f>IFERROR(VLOOKUP($A16,[19]!Table1[#All],3,0),"-")</f>
        <v>-</v>
      </c>
      <c r="AN16" s="1" t="str">
        <f>IFERROR(VLOOKUP($A16,[20]!Table1[#All],2,0),"-")</f>
        <v>-</v>
      </c>
      <c r="AO16" s="14" t="str">
        <f>IFERROR(VLOOKUP($A16,[20]!Table1[#All],3,0),"-")</f>
        <v>-</v>
      </c>
      <c r="AP16" s="1" t="str">
        <f>IFERROR(VLOOKUP($A16,[21]!Table2[#All],2,0),"-")</f>
        <v>-</v>
      </c>
      <c r="AQ16" s="14" t="str">
        <f>IFERROR(VLOOKUP($A16,[21]!Table2[#All],3,0),"-")</f>
        <v>-</v>
      </c>
      <c r="AR16" s="1" t="str">
        <f>IFERROR(VLOOKUP($A16,[22]!Table1[#All],2,0),"-")</f>
        <v>-</v>
      </c>
      <c r="AS16" s="14" t="str">
        <f>IFERROR(VLOOKUP($A16,[22]!Table1[#All],3,0),"-")</f>
        <v>-</v>
      </c>
      <c r="AT16" s="1" t="str">
        <f>IFERROR(VLOOKUP($A16,[23]!Table1[#All],2,0),"-")</f>
        <v>-</v>
      </c>
      <c r="AU16" s="14" t="str">
        <f>IFERROR(VLOOKUP($A16,[23]!Table1[#All],3,0),"-")</f>
        <v>-</v>
      </c>
      <c r="AV16" s="1" t="str">
        <f>IFERROR(VLOOKUP($A16,[24]!Table1[#All],2,0),"-")</f>
        <v>-</v>
      </c>
      <c r="AW16" s="14" t="str">
        <f>IFERROR(VLOOKUP($A16,[24]!Table1[#All],3,0),"-")</f>
        <v>-</v>
      </c>
      <c r="AX16" s="1" t="str">
        <f>IFERROR(VLOOKUP($A16,[25]!Table1[#All],2,0),"-")</f>
        <v>-</v>
      </c>
      <c r="AY16" s="14" t="str">
        <f>IFERROR(VLOOKUP($A16,[25]!Table1[#All],3,0),"-")</f>
        <v>-</v>
      </c>
      <c r="AZ16" s="1" t="str">
        <f>IFERROR(VLOOKUP($A16,[26]!Table2[#All],2,0),"-")</f>
        <v>-</v>
      </c>
      <c r="BA16" s="14" t="str">
        <f>IFERROR(VLOOKUP($A16,[26]!Table2[#All],3,0),"-")</f>
        <v>-</v>
      </c>
      <c r="BB16" s="1" t="str">
        <f>IFERROR(VLOOKUP($A16,[27]!Table1[#All],2,0),"-")</f>
        <v>-</v>
      </c>
      <c r="BC16" s="14" t="str">
        <f>IFERROR(VLOOKUP($A16,[27]!Table1[#All],3,0),"-")</f>
        <v>-</v>
      </c>
      <c r="BD16" s="1" t="str">
        <f>IFERROR(VLOOKUP($A16,[28]!Table1[#All],2,0),"-")</f>
        <v>-</v>
      </c>
      <c r="BE16" s="14" t="str">
        <f>IFERROR(VLOOKUP($A16,[28]!Table1[#All],3,0),"-")</f>
        <v>-</v>
      </c>
      <c r="BF16" s="1" t="str">
        <f>IFERROR(VLOOKUP($A16,[29]!Table1[#All],2,0),"-")</f>
        <v>-</v>
      </c>
      <c r="BG16" s="14" t="str">
        <f>IFERROR(VLOOKUP($A16,[29]!Table1[#All],3,0),"-")</f>
        <v>-</v>
      </c>
      <c r="BH16" s="1" t="str">
        <f>IFERROR(VLOOKUP($A16,[30]!Table1[#All],2,0),"-")</f>
        <v>-</v>
      </c>
      <c r="BI16" s="14" t="str">
        <f>IFERROR(VLOOKUP($A16,[30]!Table1[#All],3,0),"-")</f>
        <v>-</v>
      </c>
      <c r="BJ16" s="1" t="str">
        <f>IFERROR(VLOOKUP($A16,[31]!Table1[#All],3,0),"-")</f>
        <v>-</v>
      </c>
      <c r="BK16" s="1" t="str">
        <f>IFERROR(VLOOKUP($A16,[31]!Table1[#All],3,0),"-")</f>
        <v>-</v>
      </c>
      <c r="BL16" s="11">
        <f t="shared" si="27"/>
        <v>0</v>
      </c>
      <c r="BM16" s="10">
        <f t="shared" si="28"/>
        <v>0</v>
      </c>
    </row>
    <row r="17" spans="1:65" x14ac:dyDescent="0.2">
      <c r="A17" s="13" t="s">
        <v>4</v>
      </c>
      <c r="B17" s="1" t="str">
        <f>IFERROR(VLOOKUP($A17,[1]!Table1[#All],2,0),"-")</f>
        <v>-</v>
      </c>
      <c r="C17" s="14" t="str">
        <f>IFERROR(VLOOKUP($A17,[1]!Table1[#All],3,0),"-")</f>
        <v>-</v>
      </c>
      <c r="D17" s="1" t="str">
        <f>IFERROR(VLOOKUP($A17,[2]!Table2[#All],2,0),"-")</f>
        <v>-</v>
      </c>
      <c r="E17" s="14" t="str">
        <f>IFERROR(VLOOKUP($A17,[2]!Table2[#All],3,0),"-")</f>
        <v>-</v>
      </c>
      <c r="F17" s="1" t="str">
        <f>IFERROR(VLOOKUP($A17,[3]!Table1[#All],2,0),"-")</f>
        <v>-</v>
      </c>
      <c r="G17" s="14" t="str">
        <f>IFERROR(VLOOKUP($A17,[3]!Table1[#All],3,0),"-")</f>
        <v>-</v>
      </c>
      <c r="H17" s="1" t="str">
        <f>IFERROR(VLOOKUP($A17,[4]Sheet1!$I$9,3,0),"-")</f>
        <v>-</v>
      </c>
      <c r="I17" s="13" t="str">
        <f>IFERROR(VLOOKUP($A17,[4]Sheet1!$I$9,2,0),"-")</f>
        <v>-</v>
      </c>
      <c r="J17" s="1" t="str">
        <f>IFERROR(VLOOKUP($A17,[5]!Table1[#All],2,0),"-")</f>
        <v>-</v>
      </c>
      <c r="K17" s="14" t="str">
        <f>IFERROR(VLOOKUP($A17,[5]!Table1[#All],3,0),"-")</f>
        <v>-</v>
      </c>
      <c r="L17" s="1" t="str">
        <f>IFERROR(VLOOKUP($A17,[6]!Table1[#All],2,0),"-")</f>
        <v>-</v>
      </c>
      <c r="M17" s="14" t="str">
        <f>IFERROR(VLOOKUP($A17,[6]!Table1[#All],3,0),"-")</f>
        <v>-</v>
      </c>
      <c r="N17" s="1" t="str">
        <f>IFERROR(VLOOKUP($A17,[7]!Table1[#All],2,0),"-")</f>
        <v>-</v>
      </c>
      <c r="O17" s="14" t="str">
        <f>IFERROR(VLOOKUP($A17,[7]!Table1[#All],3,0),"-")</f>
        <v>-</v>
      </c>
      <c r="P17" s="1" t="str">
        <f>IFERROR(VLOOKUP($A17,[8]!Table1[#All],2,0),"-")</f>
        <v>-</v>
      </c>
      <c r="Q17" s="14" t="str">
        <f>IFERROR(VLOOKUP($A17,[8]!Table1[#All],3,0),"-")</f>
        <v>-</v>
      </c>
      <c r="R17" s="1" t="str">
        <f>IFERROR(VLOOKUP($A17,[9]!Table1[#All],2,0),"-")</f>
        <v>-</v>
      </c>
      <c r="S17" s="14" t="str">
        <f>IFERROR(VLOOKUP($A17,[9]!Table1[#All],3,0),"-")</f>
        <v>-</v>
      </c>
      <c r="T17" s="1" t="str">
        <f>IFERROR(VLOOKUP($A17,[10]!Table1[#All],3,0),"-")</f>
        <v>-</v>
      </c>
      <c r="U17" s="14" t="str">
        <f>IFERROR(VLOOKUP($A17,[10]!Table1[#All],2,0),"-")</f>
        <v>-</v>
      </c>
      <c r="V17" s="1" t="str">
        <f>IFERROR(VLOOKUP($A17,[11]!Table1[#All],2,0),"-")</f>
        <v>-</v>
      </c>
      <c r="W17" s="14" t="str">
        <f>IFERROR(VLOOKUP($A17,[11]!Table1[#All],3,0),"-")</f>
        <v>-</v>
      </c>
      <c r="X17" s="1" t="str">
        <f>IFERROR(VLOOKUP($A17,[12]!Table1[#All],2,0),"-")</f>
        <v>-</v>
      </c>
      <c r="Y17" s="14" t="str">
        <f>IFERROR(VLOOKUP($A17,[12]!Table1[#All],3,0),"-")</f>
        <v>-</v>
      </c>
      <c r="Z17" s="1" t="str">
        <f>IFERROR(VLOOKUP($A17,[13]!Table1[#All],2,0),"-")</f>
        <v>-</v>
      </c>
      <c r="AA17" s="14" t="str">
        <f>IFERROR(VLOOKUP($A17,[13]!Table1[#All],3,0),"-")</f>
        <v>-</v>
      </c>
      <c r="AB17" s="1" t="str">
        <f>IFERROR(VLOOKUP($A17,[14]!Table1[#All],2,0),"-")</f>
        <v>-</v>
      </c>
      <c r="AC17" s="14" t="str">
        <f>IFERROR(VLOOKUP($A17,[14]!Table1[#All],3,0),"-")</f>
        <v>-</v>
      </c>
      <c r="AD17" s="1" t="str">
        <f>IFERROR(VLOOKUP($A17,[15]!Table1[#All],2,0),"-")</f>
        <v>-</v>
      </c>
      <c r="AE17" s="14" t="str">
        <f>IFERROR(VLOOKUP($A17,[15]!Table1[#All],3,0),"-")</f>
        <v>-</v>
      </c>
      <c r="AF17" s="1" t="str">
        <f>IFERROR(VLOOKUP($A17,[16]!Table2[#All],2,0),"-")</f>
        <v>-</v>
      </c>
      <c r="AG17" s="14" t="str">
        <f>IFERROR(VLOOKUP($A17,[16]!Table2[#All],3,0),"-")</f>
        <v>-</v>
      </c>
      <c r="AH17" s="1" t="str">
        <f>IFERROR(VLOOKUP($A17,[17]!Table1[#All],2,0),"-")</f>
        <v>-</v>
      </c>
      <c r="AI17" s="14" t="str">
        <f>IFERROR(VLOOKUP($A17,[17]!Table1[#All],3,0),"-")</f>
        <v>-</v>
      </c>
      <c r="AJ17" s="1" t="str">
        <f>IFERROR(VLOOKUP($A17,[18]!Table1[#All],2,0),"-")</f>
        <v>-</v>
      </c>
      <c r="AK17" s="14" t="str">
        <f>IFERROR(VLOOKUP($A17,[18]!Table1[#All],3,0),"-")</f>
        <v>-</v>
      </c>
      <c r="AL17" s="1" t="str">
        <f>IFERROR(VLOOKUP($A17,[19]!Table1[#All],2,0),"-")</f>
        <v>-</v>
      </c>
      <c r="AM17" s="14" t="str">
        <f>IFERROR(VLOOKUP($A17,[19]!Table1[#All],3,0),"-")</f>
        <v>-</v>
      </c>
      <c r="AN17" s="1" t="str">
        <f>IFERROR(VLOOKUP($A17,[20]!Table1[#All],2,0),"-")</f>
        <v>-</v>
      </c>
      <c r="AO17" s="14" t="str">
        <f>IFERROR(VLOOKUP($A17,[20]!Table1[#All],3,0),"-")</f>
        <v>-</v>
      </c>
      <c r="AP17" s="1" t="str">
        <f>IFERROR(VLOOKUP($A17,[21]!Table2[#All],2,0),"-")</f>
        <v>-</v>
      </c>
      <c r="AQ17" s="14" t="str">
        <f>IFERROR(VLOOKUP($A17,[21]!Table2[#All],3,0),"-")</f>
        <v>-</v>
      </c>
      <c r="AR17" s="1" t="str">
        <f>IFERROR(VLOOKUP($A17,[22]!Table1[#All],2,0),"-")</f>
        <v>-</v>
      </c>
      <c r="AS17" s="14" t="str">
        <f>IFERROR(VLOOKUP($A17,[22]!Table1[#All],3,0),"-")</f>
        <v>-</v>
      </c>
      <c r="AT17" s="1" t="str">
        <f>IFERROR(VLOOKUP($A17,[23]!Table1[#All],2,0),"-")</f>
        <v>-</v>
      </c>
      <c r="AU17" s="14" t="str">
        <f>IFERROR(VLOOKUP($A17,[23]!Table1[#All],3,0),"-")</f>
        <v>-</v>
      </c>
      <c r="AV17" s="1" t="str">
        <f>IFERROR(VLOOKUP($A17,[24]!Table1[#All],2,0),"-")</f>
        <v>-</v>
      </c>
      <c r="AW17" s="14" t="str">
        <f>IFERROR(VLOOKUP($A17,[24]!Table1[#All],3,0),"-")</f>
        <v>-</v>
      </c>
      <c r="AX17" s="1" t="str">
        <f>IFERROR(VLOOKUP($A17,[25]!Table1[#All],2,0),"-")</f>
        <v>-</v>
      </c>
      <c r="AY17" s="14" t="str">
        <f>IFERROR(VLOOKUP($A17,[25]!Table1[#All],3,0),"-")</f>
        <v>-</v>
      </c>
      <c r="AZ17" s="1" t="str">
        <f>IFERROR(VLOOKUP($A17,[26]!Table2[#All],2,0),"-")</f>
        <v>-</v>
      </c>
      <c r="BA17" s="14" t="str">
        <f>IFERROR(VLOOKUP($A17,[26]!Table2[#All],3,0),"-")</f>
        <v>-</v>
      </c>
      <c r="BB17" s="1" t="str">
        <f>IFERROR(VLOOKUP($A17,[27]!Table1[#All],2,0),"-")</f>
        <v>-</v>
      </c>
      <c r="BC17" s="14" t="str">
        <f>IFERROR(VLOOKUP($A17,[27]!Table1[#All],3,0),"-")</f>
        <v>-</v>
      </c>
      <c r="BD17" s="1" t="str">
        <f>IFERROR(VLOOKUP($A17,[28]!Table1[#All],2,0),"-")</f>
        <v>-</v>
      </c>
      <c r="BE17" s="14" t="str">
        <f>IFERROR(VLOOKUP($A17,[28]!Table1[#All],3,0),"-")</f>
        <v>-</v>
      </c>
      <c r="BF17" s="1" t="str">
        <f>IFERROR(VLOOKUP($A17,[29]!Table1[#All],2,0),"-")</f>
        <v>-</v>
      </c>
      <c r="BG17" s="14" t="str">
        <f>IFERROR(VLOOKUP($A17,[29]!Table1[#All],3,0),"-")</f>
        <v>-</v>
      </c>
      <c r="BH17" s="1" t="str">
        <f>IFERROR(VLOOKUP($A17,[30]!Table1[#All],2,0),"-")</f>
        <v>-</v>
      </c>
      <c r="BI17" s="14" t="str">
        <f>IFERROR(VLOOKUP($A17,[30]!Table1[#All],3,0),"-")</f>
        <v>-</v>
      </c>
      <c r="BJ17" s="1" t="str">
        <f>IFERROR(VLOOKUP($A17,[31]!Table1[#All],3,0),"-")</f>
        <v>-</v>
      </c>
      <c r="BK17" s="1" t="str">
        <f>IFERROR(VLOOKUP($A17,[31]!Table1[#All],3,0),"-")</f>
        <v>-</v>
      </c>
      <c r="BL17" s="11">
        <f t="shared" si="27"/>
        <v>0</v>
      </c>
      <c r="BM17" s="10">
        <f t="shared" si="28"/>
        <v>0</v>
      </c>
    </row>
    <row r="18" spans="1:65" x14ac:dyDescent="0.2">
      <c r="A18" s="13" t="s">
        <v>7</v>
      </c>
      <c r="B18" s="1" t="str">
        <f>IFERROR(VLOOKUP($A18,[1]!Table1[#All],2,0),"-")</f>
        <v>-</v>
      </c>
      <c r="C18" s="14" t="str">
        <f>IFERROR(VLOOKUP($A18,[1]!Table1[#All],3,0),"-")</f>
        <v>-</v>
      </c>
      <c r="D18" s="1" t="str">
        <f>IFERROR(VLOOKUP($A18,[2]!Table2[#All],2,0),"-")</f>
        <v>-</v>
      </c>
      <c r="E18" s="14" t="str">
        <f>IFERROR(VLOOKUP($A18,[2]!Table2[#All],3,0),"-")</f>
        <v>-</v>
      </c>
      <c r="F18" s="1" t="str">
        <f>IFERROR(VLOOKUP($A18,[3]!Table1[#All],2,0),"-")</f>
        <v>-</v>
      </c>
      <c r="G18" s="14" t="str">
        <f>IFERROR(VLOOKUP($A18,[3]!Table1[#All],3,0),"-")</f>
        <v>-</v>
      </c>
      <c r="H18" s="1" t="str">
        <f>IFERROR(VLOOKUP($A18,[4]Sheet1!$I$9,3,0),"-")</f>
        <v>-</v>
      </c>
      <c r="I18" s="13" t="str">
        <f>IFERROR(VLOOKUP($A18,[4]Sheet1!$I$9,2,0),"-")</f>
        <v>-</v>
      </c>
      <c r="J18" s="1" t="str">
        <f>IFERROR(VLOOKUP($A18,[5]!Table1[#All],2,0),"-")</f>
        <v>-</v>
      </c>
      <c r="K18" s="14" t="str">
        <f>IFERROR(VLOOKUP($A18,[5]!Table1[#All],3,0),"-")</f>
        <v>-</v>
      </c>
      <c r="L18" s="1" t="str">
        <f>IFERROR(VLOOKUP($A18,[6]!Table1[#All],2,0),"-")</f>
        <v>-</v>
      </c>
      <c r="M18" s="14" t="str">
        <f>IFERROR(VLOOKUP($A18,[6]!Table1[#All],3,0),"-")</f>
        <v>-</v>
      </c>
      <c r="N18" s="1" t="str">
        <f>IFERROR(VLOOKUP($A18,[7]!Table1[#All],2,0),"-")</f>
        <v>-</v>
      </c>
      <c r="O18" s="14" t="str">
        <f>IFERROR(VLOOKUP($A18,[7]!Table1[#All],3,0),"-")</f>
        <v>-</v>
      </c>
      <c r="P18" s="1" t="str">
        <f>IFERROR(VLOOKUP($A18,[8]!Table1[#All],2,0),"-")</f>
        <v>-</v>
      </c>
      <c r="Q18" s="14" t="str">
        <f>IFERROR(VLOOKUP($A18,[8]!Table1[#All],3,0),"-")</f>
        <v>-</v>
      </c>
      <c r="R18" s="1" t="str">
        <f>IFERROR(VLOOKUP($A18,[9]!Table1[#All],2,0),"-")</f>
        <v>-</v>
      </c>
      <c r="S18" s="14" t="str">
        <f>IFERROR(VLOOKUP($A18,[9]!Table1[#All],3,0),"-")</f>
        <v>-</v>
      </c>
      <c r="T18" s="1" t="str">
        <f>IFERROR(VLOOKUP($A18,[10]!Table1[#All],3,0),"-")</f>
        <v>-</v>
      </c>
      <c r="U18" s="14" t="str">
        <f>IFERROR(VLOOKUP($A18,[10]!Table1[#All],2,0),"-")</f>
        <v>-</v>
      </c>
      <c r="V18" s="1" t="str">
        <f>IFERROR(VLOOKUP($A18,[11]!Table1[#All],2,0),"-")</f>
        <v>-</v>
      </c>
      <c r="W18" s="14" t="str">
        <f>IFERROR(VLOOKUP($A18,[11]!Table1[#All],3,0),"-")</f>
        <v>-</v>
      </c>
      <c r="X18" s="1" t="str">
        <f>IFERROR(VLOOKUP($A18,[12]!Table1[#All],2,0),"-")</f>
        <v>-</v>
      </c>
      <c r="Y18" s="14" t="str">
        <f>IFERROR(VLOOKUP($A18,[12]!Table1[#All],3,0),"-")</f>
        <v>-</v>
      </c>
      <c r="Z18" s="1" t="str">
        <f>IFERROR(VLOOKUP($A18,[13]!Table1[#All],2,0),"-")</f>
        <v>-</v>
      </c>
      <c r="AA18" s="14" t="str">
        <f>IFERROR(VLOOKUP($A18,[13]!Table1[#All],3,0),"-")</f>
        <v>-</v>
      </c>
      <c r="AB18" s="1" t="str">
        <f>IFERROR(VLOOKUP($A18,[14]!Table1[#All],2,0),"-")</f>
        <v>-</v>
      </c>
      <c r="AC18" s="14" t="str">
        <f>IFERROR(VLOOKUP($A18,[14]!Table1[#All],3,0),"-")</f>
        <v>-</v>
      </c>
      <c r="AD18" s="1" t="str">
        <f>IFERROR(VLOOKUP($A18,[15]!Table1[#All],2,0),"-")</f>
        <v>-</v>
      </c>
      <c r="AE18" s="14" t="str">
        <f>IFERROR(VLOOKUP($A18,[15]!Table1[#All],3,0),"-")</f>
        <v>-</v>
      </c>
      <c r="AF18" s="1" t="str">
        <f>IFERROR(VLOOKUP($A18,[16]!Table2[#All],2,0),"-")</f>
        <v>-</v>
      </c>
      <c r="AG18" s="14" t="str">
        <f>IFERROR(VLOOKUP($A18,[16]!Table2[#All],3,0),"-")</f>
        <v>-</v>
      </c>
      <c r="AH18" s="1" t="str">
        <f>IFERROR(VLOOKUP($A18,[17]!Table1[#All],2,0),"-")</f>
        <v>-</v>
      </c>
      <c r="AI18" s="14" t="str">
        <f>IFERROR(VLOOKUP($A18,[17]!Table1[#All],3,0),"-")</f>
        <v>-</v>
      </c>
      <c r="AJ18" s="1" t="str">
        <f>IFERROR(VLOOKUP($A18,[18]!Table1[#All],2,0),"-")</f>
        <v>-</v>
      </c>
      <c r="AK18" s="14" t="str">
        <f>IFERROR(VLOOKUP($A18,[18]!Table1[#All],3,0),"-")</f>
        <v>-</v>
      </c>
      <c r="AL18" s="1" t="str">
        <f>IFERROR(VLOOKUP($A18,[19]!Table1[#All],2,0),"-")</f>
        <v>-</v>
      </c>
      <c r="AM18" s="14" t="str">
        <f>IFERROR(VLOOKUP($A18,[19]!Table1[#All],3,0),"-")</f>
        <v>-</v>
      </c>
      <c r="AN18" s="1" t="str">
        <f>IFERROR(VLOOKUP($A18,[20]!Table1[#All],2,0),"-")</f>
        <v>-</v>
      </c>
      <c r="AO18" s="14" t="str">
        <f>IFERROR(VLOOKUP($A18,[20]!Table1[#All],3,0),"-")</f>
        <v>-</v>
      </c>
      <c r="AP18" s="1" t="str">
        <f>IFERROR(VLOOKUP($A18,[21]!Table2[#All],2,0),"-")</f>
        <v>-</v>
      </c>
      <c r="AQ18" s="14" t="str">
        <f>IFERROR(VLOOKUP($A18,[21]!Table2[#All],3,0),"-")</f>
        <v>-</v>
      </c>
      <c r="AR18" s="1" t="str">
        <f>IFERROR(VLOOKUP($A18,[22]!Table1[#All],2,0),"-")</f>
        <v>-</v>
      </c>
      <c r="AS18" s="14" t="str">
        <f>IFERROR(VLOOKUP($A18,[22]!Table1[#All],3,0),"-")</f>
        <v>-</v>
      </c>
      <c r="AT18" s="1" t="str">
        <f>IFERROR(VLOOKUP($A18,[23]!Table1[#All],2,0),"-")</f>
        <v>-</v>
      </c>
      <c r="AU18" s="14" t="str">
        <f>IFERROR(VLOOKUP($A18,[23]!Table1[#All],3,0),"-")</f>
        <v>-</v>
      </c>
      <c r="AV18" s="1" t="str">
        <f>IFERROR(VLOOKUP($A18,[24]!Table1[#All],2,0),"-")</f>
        <v>-</v>
      </c>
      <c r="AW18" s="14" t="str">
        <f>IFERROR(VLOOKUP($A18,[24]!Table1[#All],3,0),"-")</f>
        <v>-</v>
      </c>
      <c r="AX18" s="1" t="str">
        <f>IFERROR(VLOOKUP($A18,[25]!Table1[#All],2,0),"-")</f>
        <v>-</v>
      </c>
      <c r="AY18" s="14" t="str">
        <f>IFERROR(VLOOKUP($A18,[25]!Table1[#All],3,0),"-")</f>
        <v>-</v>
      </c>
      <c r="AZ18" s="1" t="str">
        <f>IFERROR(VLOOKUP($A18,[26]!Table2[#All],2,0),"-")</f>
        <v>-</v>
      </c>
      <c r="BA18" s="14" t="str">
        <f>IFERROR(VLOOKUP($A18,[26]!Table2[#All],3,0),"-")</f>
        <v>-</v>
      </c>
      <c r="BB18" s="1" t="str">
        <f>IFERROR(VLOOKUP($A18,[27]!Table1[#All],2,0),"-")</f>
        <v>-</v>
      </c>
      <c r="BC18" s="14" t="str">
        <f>IFERROR(VLOOKUP($A18,[27]!Table1[#All],3,0),"-")</f>
        <v>-</v>
      </c>
      <c r="BD18" s="1" t="str">
        <f>IFERROR(VLOOKUP($A18,[28]!Table1[#All],2,0),"-")</f>
        <v>-</v>
      </c>
      <c r="BE18" s="14" t="str">
        <f>IFERROR(VLOOKUP($A18,[28]!Table1[#All],3,0),"-")</f>
        <v>-</v>
      </c>
      <c r="BF18" s="1" t="str">
        <f>IFERROR(VLOOKUP($A18,[29]!Table1[#All],2,0),"-")</f>
        <v>-</v>
      </c>
      <c r="BG18" s="14" t="str">
        <f>IFERROR(VLOOKUP($A18,[29]!Table1[#All],3,0),"-")</f>
        <v>-</v>
      </c>
      <c r="BH18" s="1" t="s">
        <v>56</v>
      </c>
      <c r="BI18" s="14" t="str">
        <f>IFERROR(VLOOKUP($A18,[30]!Table1[#All],3,0),"-")</f>
        <v>-</v>
      </c>
      <c r="BJ18" s="1" t="str">
        <f>IFERROR(VLOOKUP($A18,[31]!Table1[#All],3,0),"-")</f>
        <v>-</v>
      </c>
      <c r="BK18" s="1" t="str">
        <f>IFERROR(VLOOKUP($A18,[31]!Table1[#All],3,0),"-")</f>
        <v>-</v>
      </c>
      <c r="BL18" s="11">
        <f t="shared" si="27"/>
        <v>0</v>
      </c>
      <c r="BM18" s="10">
        <f t="shared" si="28"/>
        <v>0</v>
      </c>
    </row>
    <row r="19" spans="1:65" x14ac:dyDescent="0.2">
      <c r="A19" s="13" t="s">
        <v>3</v>
      </c>
      <c r="B19" s="1" t="str">
        <f>IFERROR(VLOOKUP($A19,[1]!Table1[#All],2,0),"-")</f>
        <v>-</v>
      </c>
      <c r="C19" s="14" t="str">
        <f>IFERROR(VLOOKUP($A19,[1]!Table1[#All],3,0),"-")</f>
        <v>-</v>
      </c>
      <c r="D19" s="1" t="str">
        <f>IFERROR(VLOOKUP($A19,[2]!Table2[#All],2,0),"-")</f>
        <v>-</v>
      </c>
      <c r="E19" s="14" t="str">
        <f>IFERROR(VLOOKUP($A19,[2]!Table2[#All],3,0),"-")</f>
        <v>-</v>
      </c>
      <c r="F19" s="1" t="str">
        <f>IFERROR(VLOOKUP($A19,[3]!Table1[#All],2,0),"-")</f>
        <v>-</v>
      </c>
      <c r="G19" s="14" t="str">
        <f>IFERROR(VLOOKUP($A19,[3]!Table1[#All],3,0),"-")</f>
        <v>-</v>
      </c>
      <c r="H19" s="1" t="str">
        <f>IFERROR(VLOOKUP($A19,[4]Sheet1!$I$9,3,0),"-")</f>
        <v>-</v>
      </c>
      <c r="I19" s="13" t="str">
        <f>IFERROR(VLOOKUP($A19,[4]Sheet1!$I$9,2,0),"-")</f>
        <v>-</v>
      </c>
      <c r="J19" s="1" t="str">
        <f>IFERROR(VLOOKUP($A19,[5]!Table1[#All],2,0),"-")</f>
        <v>-</v>
      </c>
      <c r="K19" s="14" t="str">
        <f>IFERROR(VLOOKUP($A19,[5]!Table1[#All],3,0),"-")</f>
        <v>-</v>
      </c>
      <c r="L19" s="1" t="str">
        <f>IFERROR(VLOOKUP($A19,[6]!Table1[#All],2,0),"-")</f>
        <v>-</v>
      </c>
      <c r="M19" s="14" t="str">
        <f>IFERROR(VLOOKUP($A19,[6]!Table1[#All],3,0),"-")</f>
        <v>-</v>
      </c>
      <c r="N19" s="1" t="str">
        <f>IFERROR(VLOOKUP($A19,[7]!Table1[#All],2,0),"-")</f>
        <v>-</v>
      </c>
      <c r="O19" s="14" t="str">
        <f>IFERROR(VLOOKUP($A19,[7]!Table1[#All],3,0),"-")</f>
        <v>-</v>
      </c>
      <c r="P19" s="1" t="str">
        <f>IFERROR(VLOOKUP($A19,[8]!Table1[#All],2,0),"-")</f>
        <v>-</v>
      </c>
      <c r="Q19" s="14" t="str">
        <f>IFERROR(VLOOKUP($A19,[8]!Table1[#All],3,0),"-")</f>
        <v>-</v>
      </c>
      <c r="R19" s="1" t="str">
        <f>IFERROR(VLOOKUP($A19,[9]!Table1[#All],2,0),"-")</f>
        <v>-</v>
      </c>
      <c r="S19" s="14" t="str">
        <f>IFERROR(VLOOKUP($A19,[9]!Table1[#All],3,0),"-")</f>
        <v>-</v>
      </c>
      <c r="T19" s="1" t="str">
        <f>IFERROR(VLOOKUP($A19,[10]!Table1[#All],3,0),"-")</f>
        <v>-</v>
      </c>
      <c r="U19" s="14" t="str">
        <f>IFERROR(VLOOKUP($A19,[10]!Table1[#All],2,0),"-")</f>
        <v>-</v>
      </c>
      <c r="V19" s="1" t="str">
        <f>IFERROR(VLOOKUP($A19,[11]!Table1[#All],2,0),"-")</f>
        <v>-</v>
      </c>
      <c r="W19" s="14" t="str">
        <f>IFERROR(VLOOKUP($A19,[11]!Table1[#All],3,0),"-")</f>
        <v>-</v>
      </c>
      <c r="X19" s="1" t="str">
        <f>IFERROR(VLOOKUP($A19,[12]!Table1[#All],2,0),"-")</f>
        <v>-</v>
      </c>
      <c r="Y19" s="14" t="str">
        <f>IFERROR(VLOOKUP($A19,[12]!Table1[#All],3,0),"-")</f>
        <v>-</v>
      </c>
      <c r="Z19" s="1" t="str">
        <f>IFERROR(VLOOKUP($A19,[13]!Table1[#All],2,0),"-")</f>
        <v>-</v>
      </c>
      <c r="AA19" s="14" t="str">
        <f>IFERROR(VLOOKUP($A19,[13]!Table1[#All],3,0),"-")</f>
        <v>-</v>
      </c>
      <c r="AB19" s="1" t="str">
        <f>IFERROR(VLOOKUP($A19,[14]!Table1[#All],2,0),"-")</f>
        <v>-</v>
      </c>
      <c r="AC19" s="14" t="str">
        <f>IFERROR(VLOOKUP($A19,[14]!Table1[#All],3,0),"-")</f>
        <v>-</v>
      </c>
      <c r="AD19" s="1" t="str">
        <f>IFERROR(VLOOKUP($A19,[15]!Table1[#All],2,0),"-")</f>
        <v>-</v>
      </c>
      <c r="AE19" s="14" t="str">
        <f>IFERROR(VLOOKUP($A19,[15]!Table1[#All],3,0),"-")</f>
        <v>-</v>
      </c>
      <c r="AF19" s="1" t="str">
        <f>IFERROR(VLOOKUP($A19,[16]!Table2[#All],2,0),"-")</f>
        <v>-</v>
      </c>
      <c r="AG19" s="14" t="str">
        <f>IFERROR(VLOOKUP($A19,[16]!Table2[#All],3,0),"-")</f>
        <v>-</v>
      </c>
      <c r="AH19" s="1" t="str">
        <f>IFERROR(VLOOKUP($A19,[17]!Table1[#All],2,0),"-")</f>
        <v>-</v>
      </c>
      <c r="AI19" s="14" t="str">
        <f>IFERROR(VLOOKUP($A19,[17]!Table1[#All],3,0),"-")</f>
        <v>-</v>
      </c>
      <c r="AJ19" s="1" t="str">
        <f>IFERROR(VLOOKUP($A19,[18]!Table1[#All],2,0),"-")</f>
        <v>-</v>
      </c>
      <c r="AK19" s="14" t="str">
        <f>IFERROR(VLOOKUP($A19,[18]!Table1[#All],3,0),"-")</f>
        <v>-</v>
      </c>
      <c r="AL19" s="1" t="str">
        <f>IFERROR(VLOOKUP($A19,[19]!Table1[#All],2,0),"-")</f>
        <v>-</v>
      </c>
      <c r="AM19" s="14" t="str">
        <f>IFERROR(VLOOKUP($A19,[19]!Table1[#All],3,0),"-")</f>
        <v>-</v>
      </c>
      <c r="AN19" s="1" t="str">
        <f>IFERROR(VLOOKUP($A19,[20]!Table1[#All],2,0),"-")</f>
        <v>-</v>
      </c>
      <c r="AO19" s="14" t="str">
        <f>IFERROR(VLOOKUP($A19,[20]!Table1[#All],3,0),"-")</f>
        <v>-</v>
      </c>
      <c r="AP19" s="1" t="str">
        <f>IFERROR(VLOOKUP($A19,[21]!Table2[#All],2,0),"-")</f>
        <v>-</v>
      </c>
      <c r="AQ19" s="14" t="str">
        <f>IFERROR(VLOOKUP($A19,[21]!Table2[#All],3,0),"-")</f>
        <v>-</v>
      </c>
      <c r="AR19" s="1" t="str">
        <f>IFERROR(VLOOKUP($A19,[22]!Table1[#All],2,0),"-")</f>
        <v>-</v>
      </c>
      <c r="AS19" s="14" t="str">
        <f>IFERROR(VLOOKUP($A19,[22]!Table1[#All],3,0),"-")</f>
        <v>-</v>
      </c>
      <c r="AT19" s="1" t="str">
        <f>IFERROR(VLOOKUP($A19,[23]!Table1[#All],2,0),"-")</f>
        <v>-</v>
      </c>
      <c r="AU19" s="14" t="str">
        <f>IFERROR(VLOOKUP($A19,[23]!Table1[#All],3,0),"-")</f>
        <v>-</v>
      </c>
      <c r="AV19" s="1" t="str">
        <f>IFERROR(VLOOKUP($A19,[24]!Table1[#All],2,0),"-")</f>
        <v>-</v>
      </c>
      <c r="AW19" s="14" t="str">
        <f>IFERROR(VLOOKUP($A19,[24]!Table1[#All],3,0),"-")</f>
        <v>-</v>
      </c>
      <c r="AX19" s="1" t="str">
        <f>IFERROR(VLOOKUP($A19,[25]!Table1[#All],2,0),"-")</f>
        <v>-</v>
      </c>
      <c r="AY19" s="14" t="str">
        <f>IFERROR(VLOOKUP($A19,[25]!Table1[#All],3,0),"-")</f>
        <v>-</v>
      </c>
      <c r="AZ19" s="1" t="str">
        <f>IFERROR(VLOOKUP($A19,[26]!Table2[#All],2,0),"-")</f>
        <v>-</v>
      </c>
      <c r="BA19" s="14" t="str">
        <f>IFERROR(VLOOKUP($A19,[26]!Table2[#All],3,0),"-")</f>
        <v>-</v>
      </c>
      <c r="BB19" s="1" t="str">
        <f>IFERROR(VLOOKUP($A19,[27]!Table1[#All],2,0),"-")</f>
        <v>-</v>
      </c>
      <c r="BC19" s="14" t="str">
        <f>IFERROR(VLOOKUP($A19,[27]!Table1[#All],3,0),"-")</f>
        <v>-</v>
      </c>
      <c r="BD19" s="1" t="str">
        <f>IFERROR(VLOOKUP($A19,[28]!Table1[#All],2,0),"-")</f>
        <v>-</v>
      </c>
      <c r="BE19" s="14" t="str">
        <f>IFERROR(VLOOKUP($A19,[28]!Table1[#All],3,0),"-")</f>
        <v>-</v>
      </c>
      <c r="BF19" s="1" t="str">
        <f>IFERROR(VLOOKUP($A19,[29]!Table1[#All],2,0),"-")</f>
        <v>-</v>
      </c>
      <c r="BG19" s="14" t="str">
        <f>IFERROR(VLOOKUP($A19,[29]!Table1[#All],3,0),"-")</f>
        <v>-</v>
      </c>
      <c r="BH19" s="1" t="str">
        <f>IFERROR(VLOOKUP($A19,[30]!Table1[#All],2,0),"-")</f>
        <v>-</v>
      </c>
      <c r="BI19" s="14" t="str">
        <f>IFERROR(VLOOKUP($A19,[30]!Table1[#All],3,0),"-")</f>
        <v>-</v>
      </c>
      <c r="BJ19" s="1" t="str">
        <f>IFERROR(VLOOKUP($A19,[31]!Table1[#All],3,0),"-")</f>
        <v>-</v>
      </c>
      <c r="BK19" s="1" t="str">
        <f>IFERROR(VLOOKUP($A19,[31]!Table1[#All],3,0),"-")</f>
        <v>-</v>
      </c>
      <c r="BL19" s="11">
        <f t="shared" si="27"/>
        <v>0</v>
      </c>
      <c r="BM19" s="10">
        <f t="shared" si="28"/>
        <v>0</v>
      </c>
    </row>
    <row r="20" spans="1:65" x14ac:dyDescent="0.2">
      <c r="A20" s="13" t="s">
        <v>14</v>
      </c>
      <c r="B20" s="1" t="str">
        <f>IFERROR(VLOOKUP($A20,[1]!Table1[#All],2,0),"-")</f>
        <v>-</v>
      </c>
      <c r="C20" s="14" t="str">
        <f>IFERROR(VLOOKUP($A20,[1]!Table1[#All],3,0),"-")</f>
        <v>-</v>
      </c>
      <c r="D20" s="1" t="str">
        <f>IFERROR(VLOOKUP($A20,[2]!Table2[#All],2,0),"-")</f>
        <v>-</v>
      </c>
      <c r="E20" s="14" t="str">
        <f>IFERROR(VLOOKUP($A20,[2]!Table2[#All],3,0),"-")</f>
        <v>-</v>
      </c>
      <c r="F20" s="1" t="str">
        <f>IFERROR(VLOOKUP($A20,[3]!Table1[#All],2,0),"-")</f>
        <v>-</v>
      </c>
      <c r="G20" s="14" t="str">
        <f>IFERROR(VLOOKUP($A20,[3]!Table1[#All],3,0),"-")</f>
        <v>-</v>
      </c>
      <c r="H20" s="1" t="str">
        <f>IFERROR(VLOOKUP($A20,[4]Sheet1!$I$9,3,0),"-")</f>
        <v>-</v>
      </c>
      <c r="I20" s="13" t="str">
        <f>IFERROR(VLOOKUP($A20,[4]Sheet1!$I$9,2,0),"-")</f>
        <v>-</v>
      </c>
      <c r="J20" s="1" t="str">
        <f>IFERROR(VLOOKUP($A20,[5]!Table1[#All],2,0),"-")</f>
        <v>-</v>
      </c>
      <c r="K20" s="14" t="str">
        <f>IFERROR(VLOOKUP($A20,[5]!Table1[#All],3,0),"-")</f>
        <v>-</v>
      </c>
      <c r="L20" s="1" t="str">
        <f>IFERROR(VLOOKUP($A20,[6]!Table1[#All],2,0),"-")</f>
        <v>-</v>
      </c>
      <c r="M20" s="14" t="str">
        <f>IFERROR(VLOOKUP($A20,[6]!Table1[#All],3,0),"-")</f>
        <v>-</v>
      </c>
      <c r="N20" s="1" t="str">
        <f>IFERROR(VLOOKUP($A20,[7]!Table1[#All],2,0),"-")</f>
        <v>-</v>
      </c>
      <c r="O20" s="14" t="str">
        <f>IFERROR(VLOOKUP($A20,[7]!Table1[#All],3,0),"-")</f>
        <v>-</v>
      </c>
      <c r="P20" s="1" t="str">
        <f>IFERROR(VLOOKUP($A20,[8]!Table1[#All],2,0),"-")</f>
        <v>-</v>
      </c>
      <c r="Q20" s="14" t="str">
        <f>IFERROR(VLOOKUP($A20,[8]!Table1[#All],3,0),"-")</f>
        <v>-</v>
      </c>
      <c r="R20" s="1" t="str">
        <f>IFERROR(VLOOKUP($A20,[9]!Table1[#All],2,0),"-")</f>
        <v>-</v>
      </c>
      <c r="S20" s="14" t="str">
        <f>IFERROR(VLOOKUP($A20,[9]!Table1[#All],3,0),"-")</f>
        <v>-</v>
      </c>
      <c r="T20" s="1" t="str">
        <f>IFERROR(VLOOKUP($A20,[10]!Table1[#All],3,0),"-")</f>
        <v>-</v>
      </c>
      <c r="U20" s="14" t="str">
        <f>IFERROR(VLOOKUP($A20,[10]!Table1[#All],2,0),"-")</f>
        <v>-</v>
      </c>
      <c r="V20" s="1" t="str">
        <f>IFERROR(VLOOKUP($A20,[11]!Table1[#All],2,0),"-")</f>
        <v>-</v>
      </c>
      <c r="W20" s="14" t="str">
        <f>IFERROR(VLOOKUP($A20,[11]!Table1[#All],3,0),"-")</f>
        <v>-</v>
      </c>
      <c r="X20" s="1" t="str">
        <f>IFERROR(VLOOKUP($A20,[12]!Table1[#All],2,0),"-")</f>
        <v>-</v>
      </c>
      <c r="Y20" s="14" t="str">
        <f>IFERROR(VLOOKUP($A20,[12]!Table1[#All],3,0),"-")</f>
        <v>-</v>
      </c>
      <c r="Z20" s="1" t="str">
        <f>IFERROR(VLOOKUP($A20,[13]!Table1[#All],2,0),"-")</f>
        <v>-</v>
      </c>
      <c r="AA20" s="14" t="str">
        <f>IFERROR(VLOOKUP($A20,[13]!Table1[#All],3,0),"-")</f>
        <v>-</v>
      </c>
      <c r="AB20" s="1" t="str">
        <f>IFERROR(VLOOKUP($A20,[14]!Table1[#All],2,0),"-")</f>
        <v>-</v>
      </c>
      <c r="AC20" s="14" t="str">
        <f>IFERROR(VLOOKUP($A20,[14]!Table1[#All],3,0),"-")</f>
        <v>-</v>
      </c>
      <c r="AD20" s="1" t="str">
        <f>IFERROR(VLOOKUP($A20,[15]!Table1[#All],2,0),"-")</f>
        <v>-</v>
      </c>
      <c r="AE20" s="14" t="str">
        <f>IFERROR(VLOOKUP($A20,[15]!Table1[#All],3,0),"-")</f>
        <v>-</v>
      </c>
      <c r="AF20" s="1" t="str">
        <f>IFERROR(VLOOKUP($A20,[16]!Table2[#All],2,0),"-")</f>
        <v>-</v>
      </c>
      <c r="AG20" s="14" t="str">
        <f>IFERROR(VLOOKUP($A20,[16]!Table2[#All],3,0),"-")</f>
        <v>-</v>
      </c>
      <c r="AH20" s="1" t="str">
        <f>IFERROR(VLOOKUP($A20,[17]!Table1[#All],2,0),"-")</f>
        <v>-</v>
      </c>
      <c r="AI20" s="14" t="str">
        <f>IFERROR(VLOOKUP($A20,[17]!Table1[#All],3,0),"-")</f>
        <v>-</v>
      </c>
      <c r="AJ20" s="1" t="str">
        <f>IFERROR(VLOOKUP($A20,[18]!Table1[#All],2,0),"-")</f>
        <v>-</v>
      </c>
      <c r="AK20" s="14" t="str">
        <f>IFERROR(VLOOKUP($A20,[18]!Table1[#All],3,0),"-")</f>
        <v>-</v>
      </c>
      <c r="AL20" s="1" t="str">
        <f>IFERROR(VLOOKUP($A20,[19]!Table1[#All],2,0),"-")</f>
        <v>-</v>
      </c>
      <c r="AM20" s="14" t="str">
        <f>IFERROR(VLOOKUP($A20,[19]!Table1[#All],3,0),"-")</f>
        <v>-</v>
      </c>
      <c r="AN20" s="1" t="str">
        <f>IFERROR(VLOOKUP($A20,[20]!Table1[#All],2,0),"-")</f>
        <v>-</v>
      </c>
      <c r="AO20" s="14" t="str">
        <f>IFERROR(VLOOKUP($A20,[20]!Table1[#All],3,0),"-")</f>
        <v>-</v>
      </c>
      <c r="AP20" s="1" t="str">
        <f>IFERROR(VLOOKUP($A20,[21]!Table2[#All],2,0),"-")</f>
        <v>-</v>
      </c>
      <c r="AQ20" s="14" t="str">
        <f>IFERROR(VLOOKUP($A20,[21]!Table2[#All],3,0),"-")</f>
        <v>-</v>
      </c>
      <c r="AR20" s="1" t="str">
        <f>IFERROR(VLOOKUP($A20,[22]!Table1[#All],2,0),"-")</f>
        <v>-</v>
      </c>
      <c r="AS20" s="14" t="str">
        <f>IFERROR(VLOOKUP($A20,[22]!Table1[#All],3,0),"-")</f>
        <v>-</v>
      </c>
      <c r="AT20" s="1" t="str">
        <f>IFERROR(VLOOKUP($A20,[23]!Table1[#All],2,0),"-")</f>
        <v>-</v>
      </c>
      <c r="AU20" s="14" t="str">
        <f>IFERROR(VLOOKUP($A20,[23]!Table1[#All],3,0),"-")</f>
        <v>-</v>
      </c>
      <c r="AV20" s="1" t="str">
        <f>IFERROR(VLOOKUP($A20,[24]!Table1[#All],2,0),"-")</f>
        <v>-</v>
      </c>
      <c r="AW20" s="14" t="str">
        <f>IFERROR(VLOOKUP($A20,[24]!Table1[#All],3,0),"-")</f>
        <v>-</v>
      </c>
      <c r="AX20" s="1" t="str">
        <f>IFERROR(VLOOKUP($A20,[25]!Table1[#All],2,0),"-")</f>
        <v>-</v>
      </c>
      <c r="AY20" s="14" t="str">
        <f>IFERROR(VLOOKUP($A20,[25]!Table1[#All],3,0),"-")</f>
        <v>-</v>
      </c>
      <c r="AZ20" s="1" t="str">
        <f>IFERROR(VLOOKUP($A20,[26]!Table2[#All],2,0),"-")</f>
        <v>-</v>
      </c>
      <c r="BA20" s="14" t="str">
        <f>IFERROR(VLOOKUP($A20,[26]!Table2[#All],3,0),"-")</f>
        <v>-</v>
      </c>
      <c r="BB20" s="1" t="str">
        <f>IFERROR(VLOOKUP($A20,[27]!Table1[#All],2,0),"-")</f>
        <v>-</v>
      </c>
      <c r="BC20" s="14" t="str">
        <f>IFERROR(VLOOKUP($A20,[27]!Table1[#All],3,0),"-")</f>
        <v>-</v>
      </c>
      <c r="BD20" s="1" t="str">
        <f>IFERROR(VLOOKUP($A20,[28]!Table1[#All],2,0),"-")</f>
        <v>-</v>
      </c>
      <c r="BE20" s="14" t="str">
        <f>IFERROR(VLOOKUP($A20,[28]!Table1[#All],3,0),"-")</f>
        <v>-</v>
      </c>
      <c r="BF20" s="1" t="str">
        <f>IFERROR(VLOOKUP($A20,[29]!Table1[#All],2,0),"-")</f>
        <v>-</v>
      </c>
      <c r="BG20" s="14" t="str">
        <f>IFERROR(VLOOKUP($A20,[29]!Table1[#All],3,0),"-")</f>
        <v>-</v>
      </c>
      <c r="BH20" s="1" t="str">
        <f>IFERROR(VLOOKUP($A20,[30]!Table1[#All],2,0),"-")</f>
        <v>-</v>
      </c>
      <c r="BI20" s="14" t="str">
        <f>IFERROR(VLOOKUP($A20,[30]!Table1[#All],3,0),"-")</f>
        <v>-</v>
      </c>
      <c r="BJ20" s="1" t="str">
        <f>IFERROR(VLOOKUP($A20,[31]!Table1[#All],3,0),"-")</f>
        <v>-</v>
      </c>
      <c r="BK20" s="1" t="str">
        <f>IFERROR(VLOOKUP($A20,[31]!Table1[#All],3,0),"-")</f>
        <v>-</v>
      </c>
      <c r="BL20" s="11">
        <f t="shared" si="27"/>
        <v>0</v>
      </c>
      <c r="BM20" s="10">
        <f t="shared" si="28"/>
        <v>0</v>
      </c>
    </row>
    <row r="21" spans="1:65" s="7" customFormat="1" x14ac:dyDescent="0.2">
      <c r="A21" s="4" t="s">
        <v>27</v>
      </c>
      <c r="B21" s="7">
        <f>SUM(B4:B20)</f>
        <v>0</v>
      </c>
      <c r="C21" s="9">
        <f>SUM(C4:C20)</f>
        <v>0</v>
      </c>
      <c r="D21" s="7">
        <f>SUM(D4:D20)</f>
        <v>0</v>
      </c>
      <c r="E21" s="9">
        <f>SUM(E4:E20)</f>
        <v>0</v>
      </c>
      <c r="F21" s="7">
        <f t="shared" ref="F21:BJ21" si="29">SUM(F4:F20)</f>
        <v>0</v>
      </c>
      <c r="G21" s="9">
        <f t="shared" si="29"/>
        <v>0</v>
      </c>
      <c r="H21" s="7">
        <f t="shared" si="29"/>
        <v>0</v>
      </c>
      <c r="I21" s="9">
        <f t="shared" si="29"/>
        <v>0</v>
      </c>
      <c r="J21" s="7">
        <f t="shared" si="29"/>
        <v>0</v>
      </c>
      <c r="K21" s="9">
        <f t="shared" si="29"/>
        <v>0</v>
      </c>
      <c r="L21" s="7">
        <f t="shared" si="29"/>
        <v>0</v>
      </c>
      <c r="M21" s="9">
        <f t="shared" si="29"/>
        <v>0</v>
      </c>
      <c r="N21" s="7">
        <f t="shared" si="29"/>
        <v>0</v>
      </c>
      <c r="O21" s="9">
        <f t="shared" si="29"/>
        <v>0</v>
      </c>
      <c r="P21" s="7">
        <f t="shared" si="29"/>
        <v>0</v>
      </c>
      <c r="Q21" s="9">
        <f t="shared" si="29"/>
        <v>0</v>
      </c>
      <c r="R21" s="7">
        <f t="shared" si="29"/>
        <v>0</v>
      </c>
      <c r="S21" s="9">
        <f t="shared" si="29"/>
        <v>0</v>
      </c>
      <c r="T21" s="7">
        <f t="shared" si="29"/>
        <v>0</v>
      </c>
      <c r="U21" s="9">
        <f t="shared" si="29"/>
        <v>0</v>
      </c>
      <c r="V21" s="7">
        <f t="shared" si="29"/>
        <v>0</v>
      </c>
      <c r="W21" s="9">
        <f t="shared" si="29"/>
        <v>0</v>
      </c>
      <c r="X21" s="7">
        <f t="shared" si="29"/>
        <v>0</v>
      </c>
      <c r="Y21" s="9">
        <f t="shared" si="29"/>
        <v>0</v>
      </c>
      <c r="Z21" s="7">
        <f t="shared" si="29"/>
        <v>0</v>
      </c>
      <c r="AA21" s="9">
        <f t="shared" si="29"/>
        <v>0</v>
      </c>
      <c r="AB21" s="7">
        <f t="shared" si="29"/>
        <v>0</v>
      </c>
      <c r="AC21" s="9">
        <f t="shared" si="29"/>
        <v>0</v>
      </c>
      <c r="AD21" s="7">
        <f t="shared" si="29"/>
        <v>0</v>
      </c>
      <c r="AE21" s="9">
        <f t="shared" si="29"/>
        <v>0</v>
      </c>
      <c r="AF21" s="7">
        <f t="shared" si="29"/>
        <v>0</v>
      </c>
      <c r="AG21" s="9">
        <f t="shared" si="29"/>
        <v>0</v>
      </c>
      <c r="AH21" s="7">
        <f t="shared" si="29"/>
        <v>0</v>
      </c>
      <c r="AI21" s="9">
        <f t="shared" si="29"/>
        <v>0</v>
      </c>
      <c r="AJ21" s="7">
        <f t="shared" si="29"/>
        <v>0</v>
      </c>
      <c r="AK21" s="9">
        <f t="shared" si="29"/>
        <v>0</v>
      </c>
      <c r="AL21" s="7">
        <f t="shared" si="29"/>
        <v>0</v>
      </c>
      <c r="AM21" s="9">
        <f t="shared" si="29"/>
        <v>0</v>
      </c>
      <c r="AN21" s="7">
        <f t="shared" si="29"/>
        <v>0</v>
      </c>
      <c r="AO21" s="9">
        <f t="shared" si="29"/>
        <v>0</v>
      </c>
      <c r="AP21" s="7">
        <f t="shared" si="29"/>
        <v>0</v>
      </c>
      <c r="AQ21" s="9">
        <f t="shared" si="29"/>
        <v>0</v>
      </c>
      <c r="AR21" s="7">
        <f t="shared" si="29"/>
        <v>0</v>
      </c>
      <c r="AS21" s="9">
        <f t="shared" si="29"/>
        <v>0</v>
      </c>
      <c r="AT21" s="7">
        <f t="shared" si="29"/>
        <v>0</v>
      </c>
      <c r="AU21" s="9">
        <f t="shared" si="29"/>
        <v>0</v>
      </c>
      <c r="AV21" s="7">
        <f t="shared" si="29"/>
        <v>0</v>
      </c>
      <c r="AW21" s="9">
        <f t="shared" si="29"/>
        <v>0</v>
      </c>
      <c r="AX21" s="7">
        <f t="shared" si="29"/>
        <v>0</v>
      </c>
      <c r="AY21" s="9">
        <f t="shared" si="29"/>
        <v>0</v>
      </c>
      <c r="AZ21" s="7">
        <f t="shared" si="29"/>
        <v>0</v>
      </c>
      <c r="BA21" s="9">
        <f t="shared" si="29"/>
        <v>0</v>
      </c>
      <c r="BB21" s="7">
        <f t="shared" si="29"/>
        <v>0</v>
      </c>
      <c r="BC21" s="9">
        <f t="shared" si="29"/>
        <v>0</v>
      </c>
      <c r="BD21" s="7">
        <f t="shared" si="29"/>
        <v>0</v>
      </c>
      <c r="BE21" s="9">
        <f t="shared" si="29"/>
        <v>0</v>
      </c>
      <c r="BF21" s="7">
        <f t="shared" si="29"/>
        <v>0</v>
      </c>
      <c r="BG21" s="9">
        <f t="shared" si="29"/>
        <v>0</v>
      </c>
      <c r="BH21" s="7">
        <f t="shared" si="29"/>
        <v>0</v>
      </c>
      <c r="BI21" s="9">
        <f t="shared" si="29"/>
        <v>0</v>
      </c>
      <c r="BJ21" s="7">
        <f t="shared" si="29"/>
        <v>0</v>
      </c>
      <c r="BK21" s="7">
        <f t="shared" ref="BK21" si="30">SUM(BK4:BK20)</f>
        <v>0</v>
      </c>
      <c r="BL21" s="11">
        <f t="shared" si="27"/>
        <v>0</v>
      </c>
      <c r="BM21" s="10">
        <f t="shared" si="28"/>
        <v>0</v>
      </c>
    </row>
  </sheetData>
  <sortState xmlns:xlrd2="http://schemas.microsoft.com/office/spreadsheetml/2017/richdata2" ref="A4:A18">
    <sortCondition ref="A4:A18"/>
  </sortState>
  <mergeCells count="67">
    <mergeCell ref="AL1:AM1"/>
    <mergeCell ref="BH1:BI1"/>
    <mergeCell ref="BJ1:BK1"/>
    <mergeCell ref="BF1:BG1"/>
    <mergeCell ref="BL1:BM2"/>
    <mergeCell ref="AZ2:BA2"/>
    <mergeCell ref="BB2:BC2"/>
    <mergeCell ref="AP2:AQ2"/>
    <mergeCell ref="AR2:AS2"/>
    <mergeCell ref="AT2:AU2"/>
    <mergeCell ref="AV2:AW2"/>
    <mergeCell ref="AX2:AY2"/>
    <mergeCell ref="B2:C2"/>
    <mergeCell ref="D2:E2"/>
    <mergeCell ref="F2:G2"/>
    <mergeCell ref="H2:I2"/>
    <mergeCell ref="AF2:A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B1:C1"/>
    <mergeCell ref="D1:E1"/>
    <mergeCell ref="F1:G1"/>
    <mergeCell ref="H1:I1"/>
    <mergeCell ref="BR2:BS2"/>
    <mergeCell ref="BF2:BG2"/>
    <mergeCell ref="BH2:BI2"/>
    <mergeCell ref="BJ2:BK2"/>
    <mergeCell ref="BN2:BO2"/>
    <mergeCell ref="BP2:BQ2"/>
    <mergeCell ref="BD2:BE2"/>
    <mergeCell ref="AH2:AI2"/>
    <mergeCell ref="AJ2:AK2"/>
    <mergeCell ref="AL2:AM2"/>
    <mergeCell ref="AN2:AO2"/>
    <mergeCell ref="J1:K1"/>
    <mergeCell ref="R1:S1"/>
    <mergeCell ref="AJ1:AK1"/>
    <mergeCell ref="T1:U1"/>
    <mergeCell ref="V1:W1"/>
    <mergeCell ref="X1:Y1"/>
    <mergeCell ref="Z1:AA1"/>
    <mergeCell ref="AB1:AC1"/>
    <mergeCell ref="A1:A3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AD1:AE1"/>
    <mergeCell ref="AF1:AG1"/>
    <mergeCell ref="AH1:AI1"/>
    <mergeCell ref="L1:M1"/>
    <mergeCell ref="N1:O1"/>
    <mergeCell ref="P1:Q1"/>
  </mergeCells>
  <phoneticPr fontId="3" type="noConversion"/>
  <pageMargins left="0.7" right="0.7" top="0.75" bottom="0.75" header="0.3" footer="0.3"/>
  <pageSetup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3A94-B041-4B84-B52D-4A3615F207FD}">
  <dimension ref="A1:F232"/>
  <sheetViews>
    <sheetView tabSelected="1" workbookViewId="0">
      <selection activeCell="H12" sqref="H12"/>
    </sheetView>
  </sheetViews>
  <sheetFormatPr defaultColWidth="8.7421875" defaultRowHeight="15" x14ac:dyDescent="0.2"/>
  <cols>
    <col min="1" max="1" width="10.0859375" style="27" bestFit="1" customWidth="1"/>
    <col min="2" max="2" width="10.625" style="27" bestFit="1" customWidth="1"/>
    <col min="3" max="3" width="10.22265625" style="27" bestFit="1" customWidth="1"/>
    <col min="4" max="4" width="13.31640625" style="27" bestFit="1" customWidth="1"/>
    <col min="5" max="5" width="11.8359375" style="27" bestFit="1" customWidth="1"/>
    <col min="6" max="6" width="11.296875" style="28" bestFit="1" customWidth="1"/>
    <col min="7" max="16384" width="8.7421875" style="27"/>
  </cols>
  <sheetData>
    <row r="1" spans="1:6" x14ac:dyDescent="0.2">
      <c r="A1" s="23" t="s">
        <v>29</v>
      </c>
      <c r="B1" s="24" t="s">
        <v>30</v>
      </c>
      <c r="C1" s="24" t="s">
        <v>31</v>
      </c>
      <c r="D1" s="24" t="s">
        <v>8</v>
      </c>
      <c r="E1" s="24" t="s">
        <v>32</v>
      </c>
      <c r="F1" s="25" t="s">
        <v>36</v>
      </c>
    </row>
    <row r="2" spans="1:6" x14ac:dyDescent="0.2">
      <c r="A2" s="26">
        <v>43952</v>
      </c>
      <c r="B2" s="27" t="s">
        <v>20</v>
      </c>
      <c r="C2" s="27">
        <v>1</v>
      </c>
      <c r="D2" s="27" t="s">
        <v>5</v>
      </c>
      <c r="E2" s="27">
        <v>10</v>
      </c>
      <c r="F2" s="28">
        <v>742</v>
      </c>
    </row>
    <row r="3" spans="1:6" x14ac:dyDescent="0.2">
      <c r="A3" s="26">
        <v>43952</v>
      </c>
      <c r="B3" s="27" t="s">
        <v>20</v>
      </c>
      <c r="C3" s="27">
        <v>1</v>
      </c>
      <c r="D3" s="27" t="s">
        <v>2</v>
      </c>
      <c r="E3" s="27">
        <v>10</v>
      </c>
      <c r="F3" s="28">
        <v>150</v>
      </c>
    </row>
    <row r="4" spans="1:6" x14ac:dyDescent="0.2">
      <c r="A4" s="26">
        <v>43952</v>
      </c>
      <c r="B4" s="27" t="s">
        <v>20</v>
      </c>
      <c r="C4" s="27">
        <v>1</v>
      </c>
      <c r="D4" s="27" t="s">
        <v>12</v>
      </c>
      <c r="E4" s="27">
        <v>1</v>
      </c>
      <c r="F4" s="28">
        <v>20</v>
      </c>
    </row>
    <row r="5" spans="1:6" x14ac:dyDescent="0.2">
      <c r="A5" s="26">
        <v>43952</v>
      </c>
      <c r="B5" s="27" t="s">
        <v>20</v>
      </c>
      <c r="C5" s="27">
        <v>1</v>
      </c>
      <c r="D5" s="27" t="s">
        <v>13</v>
      </c>
      <c r="E5" s="27">
        <v>4</v>
      </c>
      <c r="F5" s="28">
        <v>300</v>
      </c>
    </row>
    <row r="6" spans="1:6" x14ac:dyDescent="0.2">
      <c r="A6" s="26">
        <v>43952</v>
      </c>
      <c r="B6" s="27" t="s">
        <v>20</v>
      </c>
      <c r="C6" s="27">
        <v>1</v>
      </c>
      <c r="D6" s="27" t="s">
        <v>6</v>
      </c>
      <c r="E6" s="27">
        <v>49</v>
      </c>
      <c r="F6" s="28">
        <v>715</v>
      </c>
    </row>
    <row r="7" spans="1:6" x14ac:dyDescent="0.2">
      <c r="A7" s="26">
        <v>43952</v>
      </c>
      <c r="B7" s="27" t="s">
        <v>20</v>
      </c>
      <c r="C7" s="27">
        <v>1</v>
      </c>
      <c r="D7" s="27" t="s">
        <v>1</v>
      </c>
      <c r="E7" s="27">
        <v>40</v>
      </c>
      <c r="F7" s="28">
        <v>600</v>
      </c>
    </row>
    <row r="8" spans="1:6" x14ac:dyDescent="0.2">
      <c r="A8" s="26">
        <v>43952</v>
      </c>
      <c r="B8" s="27" t="s">
        <v>20</v>
      </c>
      <c r="C8" s="27">
        <v>1</v>
      </c>
      <c r="D8" s="27" t="s">
        <v>11</v>
      </c>
      <c r="E8" s="27">
        <v>44</v>
      </c>
      <c r="F8" s="28">
        <v>220</v>
      </c>
    </row>
    <row r="9" spans="1:6" x14ac:dyDescent="0.2">
      <c r="A9" s="26">
        <v>43952</v>
      </c>
      <c r="B9" s="27" t="s">
        <v>20</v>
      </c>
      <c r="C9" s="27">
        <v>1</v>
      </c>
      <c r="D9" s="27" t="s">
        <v>16</v>
      </c>
      <c r="E9" s="27">
        <v>9</v>
      </c>
      <c r="F9" s="28">
        <v>225</v>
      </c>
    </row>
    <row r="10" spans="1:6" x14ac:dyDescent="0.2">
      <c r="A10" s="26">
        <v>43952</v>
      </c>
      <c r="B10" s="27" t="s">
        <v>20</v>
      </c>
      <c r="C10" s="27">
        <v>1</v>
      </c>
      <c r="D10" s="27" t="s">
        <v>0</v>
      </c>
      <c r="E10" s="27">
        <v>2</v>
      </c>
      <c r="F10" s="28">
        <v>60</v>
      </c>
    </row>
    <row r="11" spans="1:6" x14ac:dyDescent="0.2">
      <c r="A11" s="26">
        <v>43952</v>
      </c>
      <c r="B11" s="27" t="s">
        <v>20</v>
      </c>
      <c r="C11" s="27">
        <v>1</v>
      </c>
      <c r="D11" s="27" t="s">
        <v>4</v>
      </c>
      <c r="E11" s="27">
        <v>3</v>
      </c>
      <c r="F11" s="28">
        <v>120</v>
      </c>
    </row>
    <row r="12" spans="1:6" x14ac:dyDescent="0.2">
      <c r="A12" s="26">
        <v>43952</v>
      </c>
      <c r="B12" s="27" t="s">
        <v>20</v>
      </c>
      <c r="C12" s="27">
        <v>1</v>
      </c>
      <c r="D12" s="27" t="s">
        <v>7</v>
      </c>
      <c r="E12" s="27">
        <v>10</v>
      </c>
      <c r="F12" s="28">
        <v>710</v>
      </c>
    </row>
    <row r="13" spans="1:6" x14ac:dyDescent="0.2">
      <c r="A13" s="26">
        <v>43952</v>
      </c>
      <c r="B13" s="27" t="s">
        <v>20</v>
      </c>
      <c r="C13" s="27">
        <v>1</v>
      </c>
      <c r="D13" s="27" t="s">
        <v>3</v>
      </c>
      <c r="E13" s="27">
        <v>9</v>
      </c>
      <c r="F13" s="28">
        <v>214</v>
      </c>
    </row>
    <row r="14" spans="1:6" x14ac:dyDescent="0.2">
      <c r="A14" s="26">
        <v>43952</v>
      </c>
      <c r="B14" s="27" t="s">
        <v>20</v>
      </c>
      <c r="C14" s="27">
        <v>1</v>
      </c>
      <c r="D14" s="27" t="s">
        <v>14</v>
      </c>
      <c r="E14" s="27">
        <v>8</v>
      </c>
      <c r="F14" s="28">
        <v>240</v>
      </c>
    </row>
    <row r="15" spans="1:6" x14ac:dyDescent="0.2">
      <c r="A15" s="26">
        <v>43953</v>
      </c>
      <c r="B15" s="27" t="s">
        <v>21</v>
      </c>
      <c r="C15" s="27">
        <v>1</v>
      </c>
      <c r="D15" s="27" t="s">
        <v>5</v>
      </c>
      <c r="E15" s="27">
        <v>18</v>
      </c>
      <c r="F15" s="28">
        <v>872</v>
      </c>
    </row>
    <row r="16" spans="1:6" x14ac:dyDescent="0.2">
      <c r="A16" s="26">
        <v>43953</v>
      </c>
      <c r="B16" s="27" t="s">
        <v>21</v>
      </c>
      <c r="C16" s="27">
        <v>1</v>
      </c>
      <c r="D16" s="27" t="s">
        <v>2</v>
      </c>
      <c r="E16" s="27">
        <v>10</v>
      </c>
      <c r="F16" s="28">
        <v>150</v>
      </c>
    </row>
    <row r="17" spans="1:6" x14ac:dyDescent="0.2">
      <c r="A17" s="26">
        <v>43953</v>
      </c>
      <c r="B17" s="27" t="s">
        <v>21</v>
      </c>
      <c r="C17" s="27">
        <v>1</v>
      </c>
      <c r="D17" s="27" t="s">
        <v>12</v>
      </c>
      <c r="E17" s="27">
        <v>1</v>
      </c>
      <c r="F17" s="28">
        <v>20</v>
      </c>
    </row>
    <row r="18" spans="1:6" x14ac:dyDescent="0.2">
      <c r="A18" s="26">
        <v>43953</v>
      </c>
      <c r="B18" s="27" t="s">
        <v>21</v>
      </c>
      <c r="C18" s="27">
        <v>1</v>
      </c>
      <c r="D18" s="27" t="s">
        <v>13</v>
      </c>
      <c r="E18" s="27">
        <v>2</v>
      </c>
      <c r="F18" s="28">
        <v>150</v>
      </c>
    </row>
    <row r="19" spans="1:6" x14ac:dyDescent="0.2">
      <c r="A19" s="26">
        <v>43953</v>
      </c>
      <c r="B19" s="27" t="s">
        <v>21</v>
      </c>
      <c r="C19" s="27">
        <v>1</v>
      </c>
      <c r="D19" s="27" t="s">
        <v>6</v>
      </c>
      <c r="E19" s="27">
        <v>27</v>
      </c>
      <c r="F19" s="28">
        <v>640</v>
      </c>
    </row>
    <row r="20" spans="1:6" x14ac:dyDescent="0.2">
      <c r="A20" s="26">
        <v>43953</v>
      </c>
      <c r="B20" s="27" t="s">
        <v>21</v>
      </c>
      <c r="C20" s="27">
        <v>1</v>
      </c>
      <c r="D20" s="27" t="s">
        <v>1</v>
      </c>
      <c r="E20" s="27">
        <v>32</v>
      </c>
      <c r="F20" s="28">
        <v>462</v>
      </c>
    </row>
    <row r="21" spans="1:6" x14ac:dyDescent="0.2">
      <c r="A21" s="26">
        <v>43953</v>
      </c>
      <c r="B21" s="27" t="s">
        <v>21</v>
      </c>
      <c r="C21" s="27">
        <v>1</v>
      </c>
      <c r="D21" s="27" t="s">
        <v>11</v>
      </c>
      <c r="E21" s="27">
        <v>4</v>
      </c>
      <c r="F21" s="28">
        <v>20</v>
      </c>
    </row>
    <row r="22" spans="1:6" x14ac:dyDescent="0.2">
      <c r="A22" s="26">
        <v>43953</v>
      </c>
      <c r="B22" s="27" t="s">
        <v>21</v>
      </c>
      <c r="C22" s="27">
        <v>1</v>
      </c>
      <c r="D22" s="27" t="s">
        <v>16</v>
      </c>
      <c r="E22" s="27">
        <v>23</v>
      </c>
      <c r="F22" s="28">
        <v>575</v>
      </c>
    </row>
    <row r="23" spans="1:6" x14ac:dyDescent="0.2">
      <c r="A23" s="26">
        <v>43953</v>
      </c>
      <c r="B23" s="27" t="s">
        <v>21</v>
      </c>
      <c r="C23" s="27">
        <v>1</v>
      </c>
      <c r="D23" s="27" t="s">
        <v>4</v>
      </c>
      <c r="E23" s="27">
        <v>1</v>
      </c>
      <c r="F23" s="28">
        <v>95</v>
      </c>
    </row>
    <row r="24" spans="1:6" x14ac:dyDescent="0.2">
      <c r="A24" s="26">
        <v>43953</v>
      </c>
      <c r="B24" s="27" t="s">
        <v>21</v>
      </c>
      <c r="C24" s="27">
        <v>1</v>
      </c>
      <c r="D24" s="27" t="s">
        <v>7</v>
      </c>
      <c r="E24" s="27">
        <v>7</v>
      </c>
      <c r="F24" s="28">
        <v>508</v>
      </c>
    </row>
    <row r="25" spans="1:6" x14ac:dyDescent="0.2">
      <c r="A25" s="26">
        <v>43953</v>
      </c>
      <c r="B25" s="27" t="s">
        <v>21</v>
      </c>
      <c r="C25" s="27">
        <v>1</v>
      </c>
      <c r="D25" s="27" t="s">
        <v>3</v>
      </c>
      <c r="E25" s="27">
        <v>10</v>
      </c>
      <c r="F25" s="28">
        <v>244</v>
      </c>
    </row>
    <row r="26" spans="1:6" x14ac:dyDescent="0.2">
      <c r="A26" s="26">
        <v>43953</v>
      </c>
      <c r="B26" s="27" t="s">
        <v>21</v>
      </c>
      <c r="C26" s="27">
        <v>1</v>
      </c>
      <c r="D26" s="27" t="s">
        <v>14</v>
      </c>
      <c r="E26" s="27">
        <v>4</v>
      </c>
      <c r="F26" s="28">
        <v>120</v>
      </c>
    </row>
    <row r="27" spans="1:6" x14ac:dyDescent="0.2">
      <c r="A27" s="26">
        <v>43954</v>
      </c>
      <c r="B27" s="27" t="s">
        <v>22</v>
      </c>
      <c r="C27" s="27">
        <v>1</v>
      </c>
      <c r="D27" s="1" t="s">
        <v>5</v>
      </c>
      <c r="E27" s="1">
        <v>9</v>
      </c>
      <c r="F27" s="20">
        <v>245.99982000000006</v>
      </c>
    </row>
    <row r="28" spans="1:6" x14ac:dyDescent="0.2">
      <c r="A28" s="26">
        <v>43954</v>
      </c>
      <c r="B28" s="27" t="s">
        <v>22</v>
      </c>
      <c r="C28" s="27">
        <v>1</v>
      </c>
      <c r="D28" s="1" t="s">
        <v>12</v>
      </c>
      <c r="E28" s="1">
        <v>2</v>
      </c>
      <c r="F28" s="20">
        <v>170.00000400000002</v>
      </c>
    </row>
    <row r="29" spans="1:6" x14ac:dyDescent="0.2">
      <c r="A29" s="26">
        <v>43954</v>
      </c>
      <c r="B29" s="27" t="s">
        <v>22</v>
      </c>
      <c r="C29" s="27">
        <v>1</v>
      </c>
      <c r="D29" s="1" t="s">
        <v>15</v>
      </c>
      <c r="E29" s="1">
        <v>1</v>
      </c>
      <c r="F29" s="20">
        <v>10.000028</v>
      </c>
    </row>
    <row r="30" spans="1:6" x14ac:dyDescent="0.2">
      <c r="A30" s="26">
        <v>43954</v>
      </c>
      <c r="B30" s="27" t="s">
        <v>22</v>
      </c>
      <c r="C30" s="27">
        <v>1</v>
      </c>
      <c r="D30" s="1" t="s">
        <v>6</v>
      </c>
      <c r="E30" s="1">
        <v>6</v>
      </c>
      <c r="F30" s="20">
        <v>360.00006400000001</v>
      </c>
    </row>
    <row r="31" spans="1:6" x14ac:dyDescent="0.2">
      <c r="A31" s="26">
        <v>43954</v>
      </c>
      <c r="B31" s="27" t="s">
        <v>22</v>
      </c>
      <c r="C31" s="27">
        <v>1</v>
      </c>
      <c r="D31" s="1" t="s">
        <v>1</v>
      </c>
      <c r="E31" s="1">
        <v>23</v>
      </c>
      <c r="F31" s="20">
        <v>390.00019200000003</v>
      </c>
    </row>
    <row r="32" spans="1:6" x14ac:dyDescent="0.2">
      <c r="A32" s="26">
        <v>43954</v>
      </c>
      <c r="B32" s="27" t="s">
        <v>22</v>
      </c>
      <c r="C32" s="27">
        <v>1</v>
      </c>
      <c r="D32" s="1" t="s">
        <v>16</v>
      </c>
      <c r="E32" s="1">
        <v>3</v>
      </c>
      <c r="F32" s="20">
        <v>74.999925000000005</v>
      </c>
    </row>
    <row r="33" spans="1:6" x14ac:dyDescent="0.2">
      <c r="A33" s="26">
        <v>43954</v>
      </c>
      <c r="B33" s="27" t="s">
        <v>22</v>
      </c>
      <c r="C33" s="27">
        <v>1</v>
      </c>
      <c r="D33" s="1" t="s">
        <v>0</v>
      </c>
      <c r="E33" s="1">
        <v>6</v>
      </c>
      <c r="F33" s="20">
        <v>199.99997000000002</v>
      </c>
    </row>
    <row r="34" spans="1:6" x14ac:dyDescent="0.2">
      <c r="A34" s="26">
        <v>43954</v>
      </c>
      <c r="B34" s="27" t="s">
        <v>22</v>
      </c>
      <c r="C34" s="27">
        <v>1</v>
      </c>
      <c r="D34" s="1" t="s">
        <v>4</v>
      </c>
      <c r="E34" s="1">
        <v>1</v>
      </c>
      <c r="F34" s="20">
        <v>95.000010000000003</v>
      </c>
    </row>
    <row r="35" spans="1:6" x14ac:dyDescent="0.2">
      <c r="A35" s="26">
        <v>43954</v>
      </c>
      <c r="B35" s="27" t="s">
        <v>22</v>
      </c>
      <c r="C35" s="27">
        <v>1</v>
      </c>
      <c r="D35" s="1" t="s">
        <v>7</v>
      </c>
      <c r="E35" s="1">
        <v>9</v>
      </c>
      <c r="F35" s="20">
        <v>595.00006400000007</v>
      </c>
    </row>
    <row r="36" spans="1:6" x14ac:dyDescent="0.2">
      <c r="A36" s="26">
        <v>43954</v>
      </c>
      <c r="B36" s="27" t="s">
        <v>22</v>
      </c>
      <c r="C36" s="27">
        <v>1</v>
      </c>
      <c r="D36" s="1" t="s">
        <v>3</v>
      </c>
      <c r="E36" s="1">
        <v>4</v>
      </c>
      <c r="F36" s="20">
        <v>106</v>
      </c>
    </row>
    <row r="37" spans="1:6" x14ac:dyDescent="0.2">
      <c r="A37" s="26">
        <v>43954</v>
      </c>
      <c r="B37" s="27" t="s">
        <v>22</v>
      </c>
      <c r="C37" s="27">
        <v>1</v>
      </c>
      <c r="D37" s="1" t="s">
        <v>14</v>
      </c>
      <c r="E37" s="1">
        <v>5</v>
      </c>
      <c r="F37" s="20">
        <v>145</v>
      </c>
    </row>
    <row r="38" spans="1:6" x14ac:dyDescent="0.2">
      <c r="A38" s="26">
        <v>43955</v>
      </c>
      <c r="B38" s="27" t="s">
        <v>23</v>
      </c>
      <c r="C38" s="27">
        <v>1</v>
      </c>
      <c r="D38" s="27" t="s">
        <v>35</v>
      </c>
      <c r="E38" s="27">
        <v>0</v>
      </c>
      <c r="F38" s="28">
        <v>0</v>
      </c>
    </row>
    <row r="39" spans="1:6" x14ac:dyDescent="0.2">
      <c r="A39" s="26">
        <v>43956</v>
      </c>
      <c r="B39" s="27" t="s">
        <v>24</v>
      </c>
      <c r="C39" s="27">
        <v>1</v>
      </c>
      <c r="D39" s="27" t="s">
        <v>5</v>
      </c>
      <c r="E39" s="27">
        <v>2</v>
      </c>
      <c r="F39" s="28">
        <v>128</v>
      </c>
    </row>
    <row r="40" spans="1:6" x14ac:dyDescent="0.2">
      <c r="A40" s="26">
        <v>43956</v>
      </c>
      <c r="B40" s="27" t="s">
        <v>24</v>
      </c>
      <c r="C40" s="27">
        <v>1</v>
      </c>
      <c r="D40" s="27" t="s">
        <v>12</v>
      </c>
      <c r="E40" s="27">
        <v>2</v>
      </c>
      <c r="F40" s="28">
        <v>40</v>
      </c>
    </row>
    <row r="41" spans="1:6" x14ac:dyDescent="0.2">
      <c r="A41" s="26">
        <v>43956</v>
      </c>
      <c r="B41" s="27" t="s">
        <v>24</v>
      </c>
      <c r="C41" s="27">
        <v>1</v>
      </c>
      <c r="D41" s="27" t="s">
        <v>6</v>
      </c>
      <c r="E41" s="27">
        <v>1</v>
      </c>
      <c r="F41" s="28">
        <v>5</v>
      </c>
    </row>
    <row r="42" spans="1:6" x14ac:dyDescent="0.2">
      <c r="A42" s="26">
        <v>43956</v>
      </c>
      <c r="B42" s="27" t="s">
        <v>24</v>
      </c>
      <c r="C42" s="27">
        <v>1</v>
      </c>
      <c r="D42" s="27" t="s">
        <v>1</v>
      </c>
      <c r="E42" s="27">
        <v>8</v>
      </c>
      <c r="F42" s="28">
        <v>100</v>
      </c>
    </row>
    <row r="43" spans="1:6" x14ac:dyDescent="0.2">
      <c r="A43" s="26">
        <v>43956</v>
      </c>
      <c r="B43" s="27" t="s">
        <v>24</v>
      </c>
      <c r="C43" s="27">
        <v>1</v>
      </c>
      <c r="D43" s="27" t="s">
        <v>16</v>
      </c>
      <c r="E43" s="27">
        <v>4</v>
      </c>
      <c r="F43" s="28">
        <v>100</v>
      </c>
    </row>
    <row r="44" spans="1:6" x14ac:dyDescent="0.2">
      <c r="A44" s="26">
        <v>43956</v>
      </c>
      <c r="B44" s="27" t="s">
        <v>24</v>
      </c>
      <c r="C44" s="27">
        <v>1</v>
      </c>
      <c r="D44" s="27" t="s">
        <v>4</v>
      </c>
      <c r="E44" s="27">
        <v>10</v>
      </c>
      <c r="F44" s="28">
        <v>518</v>
      </c>
    </row>
    <row r="45" spans="1:6" x14ac:dyDescent="0.2">
      <c r="A45" s="26">
        <v>43956</v>
      </c>
      <c r="B45" s="27" t="s">
        <v>24</v>
      </c>
      <c r="C45" s="27">
        <v>1</v>
      </c>
      <c r="D45" s="27" t="s">
        <v>7</v>
      </c>
      <c r="E45" s="27">
        <v>1</v>
      </c>
      <c r="F45" s="28">
        <v>68</v>
      </c>
    </row>
    <row r="46" spans="1:6" x14ac:dyDescent="0.2">
      <c r="A46" s="26">
        <v>43956</v>
      </c>
      <c r="B46" s="27" t="s">
        <v>24</v>
      </c>
      <c r="C46" s="27">
        <v>1</v>
      </c>
      <c r="D46" s="27" t="s">
        <v>14</v>
      </c>
      <c r="E46" s="27">
        <v>2</v>
      </c>
      <c r="F46" s="28">
        <v>60</v>
      </c>
    </row>
    <row r="47" spans="1:6" x14ac:dyDescent="0.2">
      <c r="A47" s="26">
        <v>43957</v>
      </c>
      <c r="B47" s="27" t="s">
        <v>25</v>
      </c>
      <c r="C47" s="27">
        <v>1</v>
      </c>
      <c r="D47" s="27" t="s">
        <v>5</v>
      </c>
      <c r="E47" s="27">
        <v>2</v>
      </c>
      <c r="F47" s="28">
        <v>96</v>
      </c>
    </row>
    <row r="48" spans="1:6" x14ac:dyDescent="0.2">
      <c r="A48" s="26">
        <v>43957</v>
      </c>
      <c r="B48" s="27" t="s">
        <v>25</v>
      </c>
      <c r="C48" s="27">
        <v>1</v>
      </c>
      <c r="D48" s="27" t="s">
        <v>12</v>
      </c>
      <c r="E48" s="27">
        <v>1</v>
      </c>
      <c r="F48" s="28">
        <v>20</v>
      </c>
    </row>
    <row r="49" spans="1:6" x14ac:dyDescent="0.2">
      <c r="A49" s="26">
        <v>43957</v>
      </c>
      <c r="B49" s="27" t="s">
        <v>25</v>
      </c>
      <c r="C49" s="27">
        <v>1</v>
      </c>
      <c r="D49" s="27" t="s">
        <v>13</v>
      </c>
      <c r="E49" s="27">
        <v>2</v>
      </c>
      <c r="F49" s="28">
        <v>150</v>
      </c>
    </row>
    <row r="50" spans="1:6" x14ac:dyDescent="0.2">
      <c r="A50" s="26">
        <v>43957</v>
      </c>
      <c r="B50" s="27" t="s">
        <v>25</v>
      </c>
      <c r="C50" s="27">
        <v>1</v>
      </c>
      <c r="D50" s="27" t="s">
        <v>17</v>
      </c>
      <c r="E50" s="27">
        <v>2</v>
      </c>
      <c r="F50" s="28">
        <v>20</v>
      </c>
    </row>
    <row r="51" spans="1:6" x14ac:dyDescent="0.2">
      <c r="A51" s="26">
        <v>43957</v>
      </c>
      <c r="B51" s="27" t="s">
        <v>25</v>
      </c>
      <c r="C51" s="27">
        <v>1</v>
      </c>
      <c r="D51" s="27" t="s">
        <v>6</v>
      </c>
      <c r="E51" s="27">
        <v>15</v>
      </c>
      <c r="F51" s="28">
        <v>240</v>
      </c>
    </row>
    <row r="52" spans="1:6" x14ac:dyDescent="0.2">
      <c r="A52" s="26">
        <v>43957</v>
      </c>
      <c r="B52" s="27" t="s">
        <v>25</v>
      </c>
      <c r="C52" s="27">
        <v>1</v>
      </c>
      <c r="D52" s="27" t="s">
        <v>1</v>
      </c>
      <c r="E52" s="27">
        <v>5</v>
      </c>
      <c r="F52" s="28">
        <v>255</v>
      </c>
    </row>
    <row r="53" spans="1:6" x14ac:dyDescent="0.2">
      <c r="A53" s="26">
        <v>43957</v>
      </c>
      <c r="B53" s="27" t="s">
        <v>25</v>
      </c>
      <c r="C53" s="27">
        <v>1</v>
      </c>
      <c r="D53" s="27" t="s">
        <v>6</v>
      </c>
      <c r="E53" s="27">
        <v>1</v>
      </c>
      <c r="F53" s="28">
        <v>45</v>
      </c>
    </row>
    <row r="54" spans="1:6" x14ac:dyDescent="0.2">
      <c r="A54" s="26">
        <v>43957</v>
      </c>
      <c r="B54" s="27" t="s">
        <v>25</v>
      </c>
      <c r="C54" s="27">
        <v>1</v>
      </c>
      <c r="D54" s="27" t="s">
        <v>16</v>
      </c>
      <c r="E54" s="27">
        <v>4</v>
      </c>
      <c r="F54" s="28">
        <v>565</v>
      </c>
    </row>
    <row r="55" spans="1:6" x14ac:dyDescent="0.2">
      <c r="A55" s="26">
        <v>43957</v>
      </c>
      <c r="B55" s="27" t="s">
        <v>25</v>
      </c>
      <c r="C55" s="27">
        <v>1</v>
      </c>
      <c r="D55" s="27" t="s">
        <v>4</v>
      </c>
      <c r="E55" s="27">
        <v>10</v>
      </c>
      <c r="F55" s="28">
        <v>577</v>
      </c>
    </row>
    <row r="56" spans="1:6" x14ac:dyDescent="0.2">
      <c r="A56" s="26">
        <v>43957</v>
      </c>
      <c r="B56" s="27" t="s">
        <v>25</v>
      </c>
      <c r="C56" s="27">
        <v>1</v>
      </c>
      <c r="D56" s="27" t="s">
        <v>7</v>
      </c>
      <c r="E56" s="27">
        <v>5</v>
      </c>
      <c r="F56" s="28">
        <v>272</v>
      </c>
    </row>
    <row r="57" spans="1:6" x14ac:dyDescent="0.2">
      <c r="A57" s="26">
        <v>43957</v>
      </c>
      <c r="B57" s="27" t="s">
        <v>25</v>
      </c>
      <c r="C57" s="27">
        <v>1</v>
      </c>
      <c r="D57" s="27" t="s">
        <v>14</v>
      </c>
      <c r="E57" s="27">
        <v>5</v>
      </c>
      <c r="F57" s="28">
        <v>150</v>
      </c>
    </row>
    <row r="58" spans="1:6" x14ac:dyDescent="0.2">
      <c r="A58" s="26">
        <v>43958</v>
      </c>
      <c r="B58" s="27" t="s">
        <v>26</v>
      </c>
      <c r="C58" s="27">
        <v>1</v>
      </c>
      <c r="D58" s="27" t="s">
        <v>5</v>
      </c>
      <c r="E58" s="27">
        <v>2</v>
      </c>
      <c r="F58" s="28">
        <v>96</v>
      </c>
    </row>
    <row r="59" spans="1:6" x14ac:dyDescent="0.2">
      <c r="A59" s="26">
        <v>43958</v>
      </c>
      <c r="B59" s="27" t="s">
        <v>26</v>
      </c>
      <c r="C59" s="27">
        <v>1</v>
      </c>
      <c r="D59" s="27" t="s">
        <v>13</v>
      </c>
      <c r="E59" s="27">
        <v>3</v>
      </c>
      <c r="F59" s="28">
        <v>225</v>
      </c>
    </row>
    <row r="60" spans="1:6" x14ac:dyDescent="0.2">
      <c r="A60" s="26">
        <v>43958</v>
      </c>
      <c r="B60" s="27" t="s">
        <v>26</v>
      </c>
      <c r="C60" s="27">
        <v>1</v>
      </c>
      <c r="D60" s="27" t="s">
        <v>6</v>
      </c>
      <c r="E60" s="27">
        <v>7</v>
      </c>
      <c r="F60" s="28">
        <v>70</v>
      </c>
    </row>
    <row r="61" spans="1:6" x14ac:dyDescent="0.2">
      <c r="A61" s="26">
        <v>43958</v>
      </c>
      <c r="B61" s="27" t="s">
        <v>26</v>
      </c>
      <c r="C61" s="27">
        <v>1</v>
      </c>
      <c r="D61" s="27" t="s">
        <v>1</v>
      </c>
      <c r="E61" s="27">
        <v>9</v>
      </c>
      <c r="F61" s="28">
        <v>880</v>
      </c>
    </row>
    <row r="62" spans="1:6" x14ac:dyDescent="0.2">
      <c r="A62" s="26">
        <v>43958</v>
      </c>
      <c r="B62" s="27" t="s">
        <v>26</v>
      </c>
      <c r="C62" s="27">
        <v>1</v>
      </c>
      <c r="D62" s="27" t="s">
        <v>16</v>
      </c>
      <c r="E62" s="27">
        <v>19</v>
      </c>
      <c r="F62" s="28">
        <v>475</v>
      </c>
    </row>
    <row r="63" spans="1:6" x14ac:dyDescent="0.2">
      <c r="A63" s="26">
        <v>43958</v>
      </c>
      <c r="B63" s="27" t="s">
        <v>26</v>
      </c>
      <c r="C63" s="27">
        <v>1</v>
      </c>
      <c r="D63" s="27" t="s">
        <v>0</v>
      </c>
      <c r="E63" s="27">
        <v>4</v>
      </c>
      <c r="F63" s="28">
        <v>130</v>
      </c>
    </row>
    <row r="64" spans="1:6" x14ac:dyDescent="0.2">
      <c r="A64" s="26">
        <v>43958</v>
      </c>
      <c r="B64" s="27" t="s">
        <v>26</v>
      </c>
      <c r="C64" s="27">
        <v>1</v>
      </c>
      <c r="D64" s="27" t="s">
        <v>4</v>
      </c>
      <c r="E64" s="27">
        <v>13</v>
      </c>
      <c r="F64" s="28">
        <v>528</v>
      </c>
    </row>
    <row r="65" spans="1:6" x14ac:dyDescent="0.2">
      <c r="A65" s="26">
        <v>43958</v>
      </c>
      <c r="B65" s="27" t="s">
        <v>26</v>
      </c>
      <c r="C65" s="27">
        <v>1</v>
      </c>
      <c r="D65" s="27" t="s">
        <v>7</v>
      </c>
      <c r="E65" s="27">
        <v>2</v>
      </c>
      <c r="F65" s="28">
        <v>168</v>
      </c>
    </row>
    <row r="66" spans="1:6" x14ac:dyDescent="0.2">
      <c r="A66" s="26">
        <v>43959</v>
      </c>
      <c r="B66" s="27" t="s">
        <v>20</v>
      </c>
      <c r="C66" s="27">
        <v>2</v>
      </c>
      <c r="D66" s="27" t="s">
        <v>6</v>
      </c>
      <c r="E66" s="27">
        <v>13</v>
      </c>
      <c r="F66" s="28">
        <v>410</v>
      </c>
    </row>
    <row r="67" spans="1:6" x14ac:dyDescent="0.2">
      <c r="A67" s="26">
        <v>43959</v>
      </c>
      <c r="B67" s="27" t="s">
        <v>20</v>
      </c>
      <c r="C67" s="27">
        <v>2</v>
      </c>
      <c r="D67" s="27" t="s">
        <v>1</v>
      </c>
      <c r="E67" s="27">
        <v>7</v>
      </c>
      <c r="F67" s="28">
        <v>130</v>
      </c>
    </row>
    <row r="68" spans="1:6" x14ac:dyDescent="0.2">
      <c r="A68" s="26">
        <v>43959</v>
      </c>
      <c r="B68" s="27" t="s">
        <v>20</v>
      </c>
      <c r="C68" s="27">
        <v>2</v>
      </c>
      <c r="D68" s="27" t="s">
        <v>4</v>
      </c>
      <c r="E68" s="27">
        <v>2</v>
      </c>
      <c r="F68" s="28">
        <v>80</v>
      </c>
    </row>
    <row r="69" spans="1:6" x14ac:dyDescent="0.2">
      <c r="A69" s="26">
        <v>43959</v>
      </c>
      <c r="B69" s="27" t="s">
        <v>20</v>
      </c>
      <c r="C69" s="27">
        <v>2</v>
      </c>
      <c r="D69" s="27" t="s">
        <v>7</v>
      </c>
      <c r="E69" s="27">
        <v>1</v>
      </c>
      <c r="F69" s="28">
        <v>68</v>
      </c>
    </row>
    <row r="70" spans="1:6" x14ac:dyDescent="0.2">
      <c r="A70" s="26">
        <v>43959</v>
      </c>
      <c r="B70" s="27" t="s">
        <v>20</v>
      </c>
      <c r="C70" s="27">
        <v>2</v>
      </c>
      <c r="D70" s="27" t="s">
        <v>12</v>
      </c>
      <c r="E70" s="27">
        <v>4</v>
      </c>
      <c r="F70" s="28">
        <v>375</v>
      </c>
    </row>
    <row r="71" spans="1:6" x14ac:dyDescent="0.2">
      <c r="A71" s="26">
        <v>43959</v>
      </c>
      <c r="B71" s="27" t="s">
        <v>20</v>
      </c>
      <c r="C71" s="27">
        <v>2</v>
      </c>
      <c r="D71" s="27" t="s">
        <v>14</v>
      </c>
      <c r="E71" s="27">
        <v>3</v>
      </c>
      <c r="F71" s="28">
        <v>90</v>
      </c>
    </row>
    <row r="72" spans="1:6" x14ac:dyDescent="0.2">
      <c r="A72" s="26">
        <v>43960</v>
      </c>
      <c r="B72" s="27" t="s">
        <v>21</v>
      </c>
      <c r="C72" s="27">
        <v>2</v>
      </c>
      <c r="D72" s="27" t="s">
        <v>5</v>
      </c>
      <c r="E72" s="27">
        <v>8</v>
      </c>
      <c r="F72" s="28">
        <v>405</v>
      </c>
    </row>
    <row r="73" spans="1:6" x14ac:dyDescent="0.2">
      <c r="A73" s="26">
        <v>43960</v>
      </c>
      <c r="B73" s="27" t="s">
        <v>21</v>
      </c>
      <c r="C73" s="27">
        <v>2</v>
      </c>
      <c r="D73" s="27" t="s">
        <v>2</v>
      </c>
      <c r="E73" s="27">
        <v>19</v>
      </c>
      <c r="F73" s="28">
        <v>285</v>
      </c>
    </row>
    <row r="74" spans="1:6" x14ac:dyDescent="0.2">
      <c r="A74" s="26">
        <v>43960</v>
      </c>
      <c r="B74" s="27" t="s">
        <v>21</v>
      </c>
      <c r="C74" s="27">
        <v>2</v>
      </c>
      <c r="D74" s="27" t="s">
        <v>6</v>
      </c>
      <c r="E74" s="27">
        <v>56</v>
      </c>
      <c r="F74" s="28">
        <v>1395</v>
      </c>
    </row>
    <row r="75" spans="1:6" x14ac:dyDescent="0.2">
      <c r="A75" s="26">
        <v>43960</v>
      </c>
      <c r="B75" s="27" t="s">
        <v>21</v>
      </c>
      <c r="C75" s="27">
        <v>2</v>
      </c>
      <c r="D75" s="27" t="s">
        <v>1</v>
      </c>
      <c r="E75" s="27">
        <v>34</v>
      </c>
      <c r="F75" s="28">
        <v>480</v>
      </c>
    </row>
    <row r="76" spans="1:6" x14ac:dyDescent="0.2">
      <c r="A76" s="26">
        <v>43960</v>
      </c>
      <c r="B76" s="27" t="s">
        <v>21</v>
      </c>
      <c r="C76" s="27">
        <v>2</v>
      </c>
      <c r="D76" s="27" t="s">
        <v>11</v>
      </c>
      <c r="E76" s="27">
        <v>25</v>
      </c>
      <c r="F76" s="28">
        <v>125</v>
      </c>
    </row>
    <row r="77" spans="1:6" x14ac:dyDescent="0.2">
      <c r="A77" s="26">
        <v>43960</v>
      </c>
      <c r="B77" s="27" t="s">
        <v>21</v>
      </c>
      <c r="C77" s="27">
        <v>2</v>
      </c>
      <c r="D77" s="27" t="s">
        <v>16</v>
      </c>
      <c r="E77" s="27">
        <v>17</v>
      </c>
      <c r="F77" s="28">
        <v>425</v>
      </c>
    </row>
    <row r="78" spans="1:6" x14ac:dyDescent="0.2">
      <c r="A78" s="26">
        <v>43960</v>
      </c>
      <c r="B78" s="27" t="s">
        <v>21</v>
      </c>
      <c r="C78" s="27">
        <v>2</v>
      </c>
      <c r="D78" s="27" t="s">
        <v>0</v>
      </c>
      <c r="E78" s="27">
        <v>10</v>
      </c>
      <c r="F78" s="28">
        <v>290</v>
      </c>
    </row>
    <row r="79" spans="1:6" x14ac:dyDescent="0.2">
      <c r="A79" s="26">
        <v>43960</v>
      </c>
      <c r="B79" s="27" t="s">
        <v>21</v>
      </c>
      <c r="C79" s="27">
        <v>2</v>
      </c>
      <c r="D79" s="27" t="s">
        <v>4</v>
      </c>
      <c r="E79" s="27">
        <v>20</v>
      </c>
      <c r="F79" s="28">
        <v>1413</v>
      </c>
    </row>
    <row r="80" spans="1:6" x14ac:dyDescent="0.2">
      <c r="A80" s="26">
        <v>43960</v>
      </c>
      <c r="B80" s="27" t="s">
        <v>21</v>
      </c>
      <c r="C80" s="27">
        <v>2</v>
      </c>
      <c r="D80" s="27" t="s">
        <v>7</v>
      </c>
      <c r="E80" s="27">
        <v>5</v>
      </c>
      <c r="F80" s="28">
        <v>398</v>
      </c>
    </row>
    <row r="81" spans="1:6" x14ac:dyDescent="0.2">
      <c r="A81" s="26">
        <v>43960</v>
      </c>
      <c r="B81" s="27" t="s">
        <v>21</v>
      </c>
      <c r="C81" s="27">
        <v>2</v>
      </c>
      <c r="D81" s="27" t="s">
        <v>14</v>
      </c>
      <c r="E81" s="27">
        <v>6</v>
      </c>
      <c r="F81" s="28">
        <v>180</v>
      </c>
    </row>
    <row r="82" spans="1:6" x14ac:dyDescent="0.2">
      <c r="A82" s="26">
        <v>43961</v>
      </c>
      <c r="B82" s="27" t="s">
        <v>22</v>
      </c>
      <c r="C82" s="27">
        <v>2</v>
      </c>
      <c r="D82" s="27" t="s">
        <v>5</v>
      </c>
      <c r="E82" s="27">
        <v>7</v>
      </c>
      <c r="F82" s="28">
        <v>452</v>
      </c>
    </row>
    <row r="83" spans="1:6" x14ac:dyDescent="0.2">
      <c r="A83" s="26">
        <v>43961</v>
      </c>
      <c r="B83" s="27" t="s">
        <v>22</v>
      </c>
      <c r="C83" s="27">
        <v>2</v>
      </c>
      <c r="D83" s="27" t="s">
        <v>2</v>
      </c>
      <c r="E83" s="27">
        <v>2</v>
      </c>
      <c r="F83" s="28">
        <v>30</v>
      </c>
    </row>
    <row r="84" spans="1:6" x14ac:dyDescent="0.2">
      <c r="A84" s="26">
        <v>43961</v>
      </c>
      <c r="B84" s="27" t="s">
        <v>22</v>
      </c>
      <c r="C84" s="27">
        <v>2</v>
      </c>
      <c r="D84" s="27" t="s">
        <v>6</v>
      </c>
      <c r="E84" s="27">
        <v>75</v>
      </c>
      <c r="F84" s="28">
        <v>565</v>
      </c>
    </row>
    <row r="85" spans="1:6" x14ac:dyDescent="0.2">
      <c r="A85" s="26">
        <v>43961</v>
      </c>
      <c r="B85" s="27" t="s">
        <v>22</v>
      </c>
      <c r="C85" s="27">
        <v>2</v>
      </c>
      <c r="D85" s="27" t="s">
        <v>1</v>
      </c>
      <c r="E85" s="27">
        <v>21</v>
      </c>
      <c r="F85" s="28">
        <v>280</v>
      </c>
    </row>
    <row r="86" spans="1:6" x14ac:dyDescent="0.2">
      <c r="A86" s="26">
        <v>43961</v>
      </c>
      <c r="B86" s="27" t="s">
        <v>22</v>
      </c>
      <c r="C86" s="27">
        <v>2</v>
      </c>
      <c r="D86" s="27" t="s">
        <v>11</v>
      </c>
      <c r="E86" s="27">
        <v>48</v>
      </c>
      <c r="F86" s="28">
        <v>225</v>
      </c>
    </row>
    <row r="87" spans="1:6" x14ac:dyDescent="0.2">
      <c r="A87" s="26">
        <v>43961</v>
      </c>
      <c r="B87" s="27" t="s">
        <v>22</v>
      </c>
      <c r="C87" s="27">
        <v>2</v>
      </c>
      <c r="D87" s="27" t="s">
        <v>0</v>
      </c>
      <c r="E87" s="27">
        <v>1</v>
      </c>
      <c r="F87" s="28">
        <v>30</v>
      </c>
    </row>
    <row r="88" spans="1:6" x14ac:dyDescent="0.2">
      <c r="A88" s="26">
        <v>43961</v>
      </c>
      <c r="B88" s="27" t="s">
        <v>22</v>
      </c>
      <c r="C88" s="27">
        <v>2</v>
      </c>
      <c r="D88" s="27" t="s">
        <v>4</v>
      </c>
      <c r="E88" s="27">
        <v>1</v>
      </c>
      <c r="F88" s="28">
        <v>40</v>
      </c>
    </row>
    <row r="89" spans="1:6" x14ac:dyDescent="0.2">
      <c r="A89" s="26">
        <v>43961</v>
      </c>
      <c r="B89" s="27" t="s">
        <v>22</v>
      </c>
      <c r="C89" s="27">
        <v>2</v>
      </c>
      <c r="D89" s="27" t="s">
        <v>7</v>
      </c>
      <c r="E89" s="27">
        <v>2</v>
      </c>
      <c r="F89" s="28">
        <v>193</v>
      </c>
    </row>
    <row r="90" spans="1:6" x14ac:dyDescent="0.2">
      <c r="A90" s="26">
        <v>43961</v>
      </c>
      <c r="B90" s="27" t="s">
        <v>22</v>
      </c>
      <c r="C90" s="27">
        <v>2</v>
      </c>
      <c r="D90" s="27" t="s">
        <v>13</v>
      </c>
      <c r="E90" s="27">
        <v>2</v>
      </c>
      <c r="F90" s="28">
        <v>150</v>
      </c>
    </row>
    <row r="91" spans="1:6" x14ac:dyDescent="0.2">
      <c r="A91" s="26">
        <v>43961</v>
      </c>
      <c r="B91" s="27" t="s">
        <v>22</v>
      </c>
      <c r="C91" s="27">
        <v>2</v>
      </c>
      <c r="D91" s="27" t="s">
        <v>14</v>
      </c>
      <c r="E91" s="27">
        <v>6</v>
      </c>
      <c r="F91" s="28">
        <v>180</v>
      </c>
    </row>
    <row r="92" spans="1:6" x14ac:dyDescent="0.2">
      <c r="A92" s="26">
        <v>43962</v>
      </c>
      <c r="B92" s="27" t="s">
        <v>23</v>
      </c>
      <c r="C92" s="27">
        <v>2</v>
      </c>
      <c r="D92" s="27" t="s">
        <v>5</v>
      </c>
      <c r="E92" s="27">
        <v>3</v>
      </c>
      <c r="F92" s="28">
        <v>144</v>
      </c>
    </row>
    <row r="93" spans="1:6" x14ac:dyDescent="0.2">
      <c r="A93" s="26">
        <v>43962</v>
      </c>
      <c r="B93" s="27" t="s">
        <v>23</v>
      </c>
      <c r="C93" s="27">
        <v>2</v>
      </c>
      <c r="D93" s="27" t="s">
        <v>6</v>
      </c>
      <c r="E93" s="27">
        <v>14</v>
      </c>
      <c r="F93" s="28">
        <v>85</v>
      </c>
    </row>
    <row r="94" spans="1:6" x14ac:dyDescent="0.2">
      <c r="A94" s="26">
        <v>43962</v>
      </c>
      <c r="B94" s="27" t="s">
        <v>23</v>
      </c>
      <c r="C94" s="27">
        <v>2</v>
      </c>
      <c r="D94" s="27" t="s">
        <v>1</v>
      </c>
      <c r="E94" s="27">
        <v>2</v>
      </c>
      <c r="F94" s="28">
        <v>40</v>
      </c>
    </row>
    <row r="95" spans="1:6" x14ac:dyDescent="0.2">
      <c r="A95" s="26">
        <v>43962</v>
      </c>
      <c r="B95" s="27" t="s">
        <v>23</v>
      </c>
      <c r="C95" s="27">
        <v>2</v>
      </c>
      <c r="D95" s="27" t="s">
        <v>4</v>
      </c>
      <c r="E95" s="27">
        <v>5</v>
      </c>
      <c r="F95" s="28">
        <v>170</v>
      </c>
    </row>
    <row r="96" spans="1:6" x14ac:dyDescent="0.2">
      <c r="A96" s="26">
        <v>43962</v>
      </c>
      <c r="B96" s="27" t="s">
        <v>23</v>
      </c>
      <c r="C96" s="27">
        <v>2</v>
      </c>
      <c r="D96" s="27" t="s">
        <v>13</v>
      </c>
      <c r="E96" s="27">
        <v>4</v>
      </c>
      <c r="F96" s="28">
        <v>300</v>
      </c>
    </row>
    <row r="97" spans="1:6" x14ac:dyDescent="0.2">
      <c r="A97" s="26">
        <v>43962</v>
      </c>
      <c r="B97" s="27" t="s">
        <v>23</v>
      </c>
      <c r="C97" s="27">
        <v>2</v>
      </c>
      <c r="D97" s="27" t="s">
        <v>14</v>
      </c>
      <c r="E97" s="27">
        <v>1</v>
      </c>
      <c r="F97" s="28">
        <v>20</v>
      </c>
    </row>
    <row r="98" spans="1:6" x14ac:dyDescent="0.2">
      <c r="A98" s="26">
        <v>43963</v>
      </c>
      <c r="B98" s="27" t="s">
        <v>24</v>
      </c>
      <c r="C98" s="27">
        <v>2</v>
      </c>
      <c r="D98" s="27" t="s">
        <v>35</v>
      </c>
      <c r="E98" s="27">
        <v>0</v>
      </c>
      <c r="F98" s="28">
        <v>0</v>
      </c>
    </row>
    <row r="99" spans="1:6" x14ac:dyDescent="0.2">
      <c r="A99" s="26">
        <v>43964</v>
      </c>
      <c r="B99" s="27" t="s">
        <v>25</v>
      </c>
      <c r="C99" s="27">
        <v>2</v>
      </c>
      <c r="D99" s="27" t="s">
        <v>5</v>
      </c>
      <c r="E99" s="27">
        <v>2</v>
      </c>
      <c r="F99" s="28">
        <v>96</v>
      </c>
    </row>
    <row r="100" spans="1:6" x14ac:dyDescent="0.2">
      <c r="A100" s="26">
        <v>43964</v>
      </c>
      <c r="B100" s="27" t="s">
        <v>25</v>
      </c>
      <c r="C100" s="27">
        <v>2</v>
      </c>
      <c r="D100" s="27" t="s">
        <v>2</v>
      </c>
      <c r="E100" s="27">
        <v>3</v>
      </c>
      <c r="F100" s="28">
        <v>45</v>
      </c>
    </row>
    <row r="101" spans="1:6" x14ac:dyDescent="0.2">
      <c r="A101" s="26">
        <v>43964</v>
      </c>
      <c r="B101" s="27" t="s">
        <v>25</v>
      </c>
      <c r="C101" s="27">
        <v>2</v>
      </c>
      <c r="D101" s="27" t="s">
        <v>6</v>
      </c>
      <c r="E101" s="27">
        <v>12</v>
      </c>
      <c r="F101" s="28">
        <v>180</v>
      </c>
    </row>
    <row r="102" spans="1:6" x14ac:dyDescent="0.2">
      <c r="A102" s="26">
        <v>43964</v>
      </c>
      <c r="B102" s="27" t="s">
        <v>25</v>
      </c>
      <c r="C102" s="27">
        <v>2</v>
      </c>
      <c r="D102" s="27" t="s">
        <v>1</v>
      </c>
      <c r="E102" s="27">
        <v>11</v>
      </c>
      <c r="F102" s="28">
        <v>180</v>
      </c>
    </row>
    <row r="103" spans="1:6" x14ac:dyDescent="0.2">
      <c r="A103" s="26">
        <v>43964</v>
      </c>
      <c r="B103" s="27" t="s">
        <v>25</v>
      </c>
      <c r="C103" s="27">
        <v>2</v>
      </c>
      <c r="D103" s="27" t="s">
        <v>11</v>
      </c>
      <c r="E103" s="27">
        <v>33</v>
      </c>
      <c r="F103" s="28">
        <v>165</v>
      </c>
    </row>
    <row r="104" spans="1:6" x14ac:dyDescent="0.2">
      <c r="A104" s="26">
        <v>43964</v>
      </c>
      <c r="B104" s="27" t="s">
        <v>25</v>
      </c>
      <c r="C104" s="27">
        <v>2</v>
      </c>
      <c r="D104" s="27" t="s">
        <v>0</v>
      </c>
      <c r="E104" s="27">
        <v>2</v>
      </c>
      <c r="F104" s="28">
        <v>60</v>
      </c>
    </row>
    <row r="105" spans="1:6" x14ac:dyDescent="0.2">
      <c r="A105" s="26">
        <v>43964</v>
      </c>
      <c r="B105" s="27" t="s">
        <v>25</v>
      </c>
      <c r="C105" s="27">
        <v>2</v>
      </c>
      <c r="D105" s="27" t="s">
        <v>4</v>
      </c>
      <c r="E105" s="27">
        <v>12</v>
      </c>
      <c r="F105" s="28">
        <v>669</v>
      </c>
    </row>
    <row r="106" spans="1:6" x14ac:dyDescent="0.2">
      <c r="A106" s="26">
        <v>43964</v>
      </c>
      <c r="B106" s="27" t="s">
        <v>25</v>
      </c>
      <c r="C106" s="27">
        <v>2</v>
      </c>
      <c r="D106" s="27" t="s">
        <v>7</v>
      </c>
      <c r="E106" s="27">
        <v>3</v>
      </c>
      <c r="F106" s="28">
        <v>210</v>
      </c>
    </row>
    <row r="107" spans="1:6" x14ac:dyDescent="0.2">
      <c r="A107" s="26">
        <v>43964</v>
      </c>
      <c r="B107" s="27" t="s">
        <v>25</v>
      </c>
      <c r="C107" s="27">
        <v>2</v>
      </c>
      <c r="D107" s="27" t="s">
        <v>12</v>
      </c>
      <c r="E107" s="27">
        <v>1</v>
      </c>
      <c r="F107" s="28">
        <v>20</v>
      </c>
    </row>
    <row r="108" spans="1:6" x14ac:dyDescent="0.2">
      <c r="A108" s="26">
        <v>43964</v>
      </c>
      <c r="B108" s="27" t="s">
        <v>25</v>
      </c>
      <c r="C108" s="27">
        <v>2</v>
      </c>
      <c r="D108" s="27" t="s">
        <v>13</v>
      </c>
      <c r="E108" s="27">
        <v>11</v>
      </c>
      <c r="F108" s="28">
        <v>825</v>
      </c>
    </row>
    <row r="109" spans="1:6" x14ac:dyDescent="0.2">
      <c r="A109" s="26">
        <v>43964</v>
      </c>
      <c r="B109" s="27" t="s">
        <v>25</v>
      </c>
      <c r="C109" s="27">
        <v>2</v>
      </c>
      <c r="D109" s="27" t="s">
        <v>14</v>
      </c>
      <c r="E109" s="27">
        <v>9</v>
      </c>
      <c r="F109" s="28">
        <v>265</v>
      </c>
    </row>
    <row r="110" spans="1:6" x14ac:dyDescent="0.2">
      <c r="A110" s="26">
        <v>43965</v>
      </c>
      <c r="B110" s="27" t="s">
        <v>26</v>
      </c>
      <c r="C110" s="27">
        <v>2</v>
      </c>
      <c r="D110" s="27" t="s">
        <v>5</v>
      </c>
      <c r="E110" s="27">
        <v>5</v>
      </c>
      <c r="F110" s="28">
        <v>202</v>
      </c>
    </row>
    <row r="111" spans="1:6" x14ac:dyDescent="0.2">
      <c r="A111" s="26">
        <v>43965</v>
      </c>
      <c r="B111" s="27" t="s">
        <v>26</v>
      </c>
      <c r="C111" s="27">
        <v>2</v>
      </c>
      <c r="D111" s="27" t="s">
        <v>2</v>
      </c>
      <c r="E111" s="27">
        <v>8</v>
      </c>
      <c r="F111" s="28">
        <v>120</v>
      </c>
    </row>
    <row r="112" spans="1:6" x14ac:dyDescent="0.2">
      <c r="A112" s="26">
        <v>43965</v>
      </c>
      <c r="B112" s="27" t="s">
        <v>26</v>
      </c>
      <c r="C112" s="27">
        <v>2</v>
      </c>
      <c r="D112" s="27" t="s">
        <v>6</v>
      </c>
      <c r="E112" s="27">
        <v>13</v>
      </c>
      <c r="F112" s="28">
        <v>198</v>
      </c>
    </row>
    <row r="113" spans="1:6" x14ac:dyDescent="0.2">
      <c r="A113" s="26">
        <v>43965</v>
      </c>
      <c r="B113" s="27" t="s">
        <v>26</v>
      </c>
      <c r="C113" s="27">
        <v>2</v>
      </c>
      <c r="D113" s="27" t="s">
        <v>1</v>
      </c>
      <c r="E113" s="27">
        <v>6</v>
      </c>
      <c r="F113" s="28">
        <v>135</v>
      </c>
    </row>
    <row r="114" spans="1:6" x14ac:dyDescent="0.2">
      <c r="A114" s="26">
        <v>43965</v>
      </c>
      <c r="B114" s="27" t="s">
        <v>26</v>
      </c>
      <c r="C114" s="27">
        <v>2</v>
      </c>
      <c r="D114" s="27" t="s">
        <v>11</v>
      </c>
      <c r="E114" s="27">
        <v>6</v>
      </c>
      <c r="F114" s="28">
        <v>30</v>
      </c>
    </row>
    <row r="115" spans="1:6" x14ac:dyDescent="0.2">
      <c r="A115" s="26">
        <v>43965</v>
      </c>
      <c r="B115" s="27" t="s">
        <v>26</v>
      </c>
      <c r="C115" s="27">
        <v>2</v>
      </c>
      <c r="D115" s="27" t="s">
        <v>16</v>
      </c>
      <c r="E115" s="27">
        <v>1</v>
      </c>
      <c r="F115" s="28">
        <v>25</v>
      </c>
    </row>
    <row r="116" spans="1:6" x14ac:dyDescent="0.2">
      <c r="A116" s="26">
        <v>43965</v>
      </c>
      <c r="B116" s="27" t="s">
        <v>26</v>
      </c>
      <c r="C116" s="27">
        <v>2</v>
      </c>
      <c r="D116" s="27" t="s">
        <v>4</v>
      </c>
      <c r="E116" s="27">
        <v>13</v>
      </c>
      <c r="F116" s="28">
        <v>738</v>
      </c>
    </row>
    <row r="117" spans="1:6" x14ac:dyDescent="0.2">
      <c r="A117" s="26">
        <v>43965</v>
      </c>
      <c r="B117" s="27" t="s">
        <v>26</v>
      </c>
      <c r="C117" s="27">
        <v>2</v>
      </c>
      <c r="D117" s="27" t="s">
        <v>19</v>
      </c>
      <c r="E117" s="27">
        <v>1</v>
      </c>
      <c r="F117" s="28">
        <v>70</v>
      </c>
    </row>
    <row r="118" spans="1:6" x14ac:dyDescent="0.2">
      <c r="A118" s="26">
        <v>43965</v>
      </c>
      <c r="B118" s="27" t="s">
        <v>26</v>
      </c>
      <c r="C118" s="27">
        <v>2</v>
      </c>
      <c r="D118" s="27" t="s">
        <v>13</v>
      </c>
      <c r="E118" s="27">
        <v>2</v>
      </c>
      <c r="F118" s="28">
        <v>150</v>
      </c>
    </row>
    <row r="119" spans="1:6" x14ac:dyDescent="0.2">
      <c r="A119" s="26">
        <v>43965</v>
      </c>
      <c r="B119" s="27" t="s">
        <v>26</v>
      </c>
      <c r="C119" s="27">
        <v>2</v>
      </c>
      <c r="D119" s="27" t="s">
        <v>14</v>
      </c>
      <c r="E119" s="27">
        <v>8</v>
      </c>
      <c r="F119" s="28">
        <v>230</v>
      </c>
    </row>
    <row r="120" spans="1:6" x14ac:dyDescent="0.2">
      <c r="A120" s="26">
        <v>43966</v>
      </c>
      <c r="B120" s="27" t="s">
        <v>20</v>
      </c>
      <c r="C120" s="27">
        <v>3</v>
      </c>
      <c r="D120" s="27" t="s">
        <v>5</v>
      </c>
      <c r="E120" s="27">
        <v>1</v>
      </c>
      <c r="F120" s="28">
        <v>48</v>
      </c>
    </row>
    <row r="121" spans="1:6" x14ac:dyDescent="0.2">
      <c r="A121" s="26">
        <v>43966</v>
      </c>
      <c r="B121" s="27" t="s">
        <v>20</v>
      </c>
      <c r="C121" s="27">
        <v>3</v>
      </c>
      <c r="D121" s="27" t="s">
        <v>2</v>
      </c>
      <c r="E121" s="27">
        <v>6</v>
      </c>
      <c r="F121" s="28">
        <v>90</v>
      </c>
    </row>
    <row r="122" spans="1:6" x14ac:dyDescent="0.2">
      <c r="A122" s="26">
        <v>43966</v>
      </c>
      <c r="B122" s="27" t="s">
        <v>20</v>
      </c>
      <c r="C122" s="27">
        <v>3</v>
      </c>
      <c r="D122" s="27" t="s">
        <v>6</v>
      </c>
      <c r="E122" s="27">
        <v>4</v>
      </c>
      <c r="F122" s="28">
        <v>75</v>
      </c>
    </row>
    <row r="123" spans="1:6" x14ac:dyDescent="0.2">
      <c r="A123" s="26">
        <v>43966</v>
      </c>
      <c r="B123" s="27" t="s">
        <v>20</v>
      </c>
      <c r="C123" s="27">
        <v>3</v>
      </c>
      <c r="D123" s="27" t="s">
        <v>1</v>
      </c>
      <c r="E123" s="27">
        <v>18</v>
      </c>
      <c r="F123" s="28">
        <v>300</v>
      </c>
    </row>
    <row r="124" spans="1:6" x14ac:dyDescent="0.2">
      <c r="A124" s="26">
        <v>43966</v>
      </c>
      <c r="B124" s="27" t="s">
        <v>20</v>
      </c>
      <c r="C124" s="27">
        <v>3</v>
      </c>
      <c r="D124" s="27" t="s">
        <v>0</v>
      </c>
      <c r="E124" s="27">
        <v>2</v>
      </c>
      <c r="F124" s="28">
        <v>60</v>
      </c>
    </row>
    <row r="125" spans="1:6" x14ac:dyDescent="0.2">
      <c r="A125" s="26">
        <v>43966</v>
      </c>
      <c r="B125" s="27" t="s">
        <v>20</v>
      </c>
      <c r="C125" s="27">
        <v>3</v>
      </c>
      <c r="D125" s="27" t="s">
        <v>4</v>
      </c>
      <c r="E125" s="27">
        <v>5</v>
      </c>
      <c r="F125" s="28">
        <v>170</v>
      </c>
    </row>
    <row r="126" spans="1:6" x14ac:dyDescent="0.2">
      <c r="A126" s="26">
        <v>43966</v>
      </c>
      <c r="B126" s="27" t="s">
        <v>20</v>
      </c>
      <c r="C126" s="27">
        <v>3</v>
      </c>
      <c r="D126" s="27" t="s">
        <v>7</v>
      </c>
      <c r="E126" s="27">
        <v>4</v>
      </c>
      <c r="F126" s="28">
        <v>272</v>
      </c>
    </row>
    <row r="127" spans="1:6" x14ac:dyDescent="0.2">
      <c r="A127" s="26">
        <v>43966</v>
      </c>
      <c r="B127" s="27" t="s">
        <v>20</v>
      </c>
      <c r="C127" s="27">
        <v>3</v>
      </c>
      <c r="D127" s="27" t="s">
        <v>18</v>
      </c>
      <c r="E127" s="27">
        <v>1</v>
      </c>
      <c r="F127" s="28">
        <v>30</v>
      </c>
    </row>
    <row r="128" spans="1:6" x14ac:dyDescent="0.2">
      <c r="A128" s="26">
        <v>43966</v>
      </c>
      <c r="B128" s="27" t="s">
        <v>20</v>
      </c>
      <c r="C128" s="27">
        <v>3</v>
      </c>
      <c r="D128" s="27" t="s">
        <v>13</v>
      </c>
      <c r="E128" s="27">
        <v>3</v>
      </c>
      <c r="F128" s="28">
        <v>225</v>
      </c>
    </row>
    <row r="129" spans="1:6" x14ac:dyDescent="0.2">
      <c r="A129" s="26">
        <v>43966</v>
      </c>
      <c r="B129" s="27" t="s">
        <v>20</v>
      </c>
      <c r="C129" s="27">
        <v>3</v>
      </c>
      <c r="D129" s="27" t="s">
        <v>14</v>
      </c>
      <c r="E129" s="27">
        <v>1</v>
      </c>
      <c r="F129" s="28">
        <v>30</v>
      </c>
    </row>
    <row r="130" spans="1:6" x14ac:dyDescent="0.2">
      <c r="A130" s="26">
        <v>43967</v>
      </c>
      <c r="B130" s="27" t="s">
        <v>21</v>
      </c>
      <c r="C130" s="27">
        <v>3</v>
      </c>
      <c r="D130" s="27" t="s">
        <v>2</v>
      </c>
      <c r="E130" s="27">
        <v>5</v>
      </c>
      <c r="F130" s="28">
        <v>75</v>
      </c>
    </row>
    <row r="131" spans="1:6" x14ac:dyDescent="0.2">
      <c r="A131" s="26">
        <v>43967</v>
      </c>
      <c r="B131" s="27" t="s">
        <v>21</v>
      </c>
      <c r="C131" s="27">
        <v>3</v>
      </c>
      <c r="D131" s="27" t="s">
        <v>6</v>
      </c>
      <c r="E131" s="27">
        <v>12</v>
      </c>
      <c r="F131" s="28">
        <v>97</v>
      </c>
    </row>
    <row r="132" spans="1:6" x14ac:dyDescent="0.2">
      <c r="A132" s="26">
        <v>43967</v>
      </c>
      <c r="B132" s="27" t="s">
        <v>21</v>
      </c>
      <c r="C132" s="27">
        <v>3</v>
      </c>
      <c r="D132" s="27" t="s">
        <v>1</v>
      </c>
      <c r="E132" s="27">
        <v>4</v>
      </c>
      <c r="F132" s="28">
        <v>80</v>
      </c>
    </row>
    <row r="133" spans="1:6" x14ac:dyDescent="0.2">
      <c r="A133" s="26">
        <v>43967</v>
      </c>
      <c r="B133" s="27" t="s">
        <v>21</v>
      </c>
      <c r="C133" s="27">
        <v>3</v>
      </c>
      <c r="D133" s="27" t="s">
        <v>16</v>
      </c>
      <c r="E133" s="27">
        <v>2</v>
      </c>
      <c r="F133" s="28">
        <v>50</v>
      </c>
    </row>
    <row r="134" spans="1:6" x14ac:dyDescent="0.2">
      <c r="A134" s="26">
        <v>43967</v>
      </c>
      <c r="B134" s="27" t="s">
        <v>21</v>
      </c>
      <c r="C134" s="27">
        <v>3</v>
      </c>
      <c r="D134" s="27" t="s">
        <v>0</v>
      </c>
      <c r="E134" s="27">
        <v>2</v>
      </c>
      <c r="F134" s="28">
        <v>60</v>
      </c>
    </row>
    <row r="135" spans="1:6" x14ac:dyDescent="0.2">
      <c r="A135" s="26">
        <v>43967</v>
      </c>
      <c r="B135" s="27" t="s">
        <v>21</v>
      </c>
      <c r="C135" s="27">
        <v>3</v>
      </c>
      <c r="D135" s="27" t="s">
        <v>4</v>
      </c>
      <c r="E135" s="27">
        <v>1</v>
      </c>
      <c r="F135" s="28">
        <v>40</v>
      </c>
    </row>
    <row r="136" spans="1:6" x14ac:dyDescent="0.2">
      <c r="A136" s="26">
        <v>43967</v>
      </c>
      <c r="B136" s="27" t="s">
        <v>21</v>
      </c>
      <c r="C136" s="27">
        <v>3</v>
      </c>
      <c r="D136" s="27" t="s">
        <v>7</v>
      </c>
      <c r="E136" s="27">
        <v>3</v>
      </c>
      <c r="F136" s="28">
        <v>204</v>
      </c>
    </row>
    <row r="137" spans="1:6" x14ac:dyDescent="0.2">
      <c r="A137" s="26">
        <v>43968</v>
      </c>
      <c r="B137" s="27" t="s">
        <v>22</v>
      </c>
      <c r="C137" s="27">
        <v>3</v>
      </c>
      <c r="D137" s="27" t="s">
        <v>5</v>
      </c>
      <c r="E137" s="27">
        <v>1</v>
      </c>
      <c r="F137" s="28">
        <v>48</v>
      </c>
    </row>
    <row r="138" spans="1:6" x14ac:dyDescent="0.2">
      <c r="A138" s="26">
        <v>43968</v>
      </c>
      <c r="B138" s="27" t="s">
        <v>22</v>
      </c>
      <c r="C138" s="27">
        <v>3</v>
      </c>
      <c r="D138" s="27" t="s">
        <v>2</v>
      </c>
      <c r="E138" s="27">
        <v>1</v>
      </c>
      <c r="F138" s="28">
        <v>15</v>
      </c>
    </row>
    <row r="139" spans="1:6" x14ac:dyDescent="0.2">
      <c r="A139" s="26">
        <v>43968</v>
      </c>
      <c r="B139" s="27" t="s">
        <v>22</v>
      </c>
      <c r="C139" s="27">
        <v>3</v>
      </c>
      <c r="D139" s="27" t="s">
        <v>6</v>
      </c>
      <c r="E139" s="27">
        <v>5</v>
      </c>
      <c r="F139" s="28">
        <v>110</v>
      </c>
    </row>
    <row r="140" spans="1:6" x14ac:dyDescent="0.2">
      <c r="A140" s="26">
        <v>43968</v>
      </c>
      <c r="B140" s="27" t="s">
        <v>22</v>
      </c>
      <c r="C140" s="27">
        <v>3</v>
      </c>
      <c r="D140" s="27" t="s">
        <v>1</v>
      </c>
      <c r="E140" s="27">
        <v>27</v>
      </c>
      <c r="F140" s="28">
        <v>360</v>
      </c>
    </row>
    <row r="141" spans="1:6" x14ac:dyDescent="0.2">
      <c r="A141" s="26">
        <v>43968</v>
      </c>
      <c r="B141" s="27" t="s">
        <v>22</v>
      </c>
      <c r="C141" s="27">
        <v>3</v>
      </c>
      <c r="D141" s="27" t="s">
        <v>16</v>
      </c>
      <c r="E141" s="27">
        <v>24</v>
      </c>
      <c r="F141" s="28">
        <v>600</v>
      </c>
    </row>
    <row r="142" spans="1:6" x14ac:dyDescent="0.2">
      <c r="A142" s="26">
        <v>43968</v>
      </c>
      <c r="B142" s="27" t="s">
        <v>22</v>
      </c>
      <c r="C142" s="27">
        <v>3</v>
      </c>
      <c r="D142" s="27" t="s">
        <v>0</v>
      </c>
      <c r="E142" s="27">
        <v>13</v>
      </c>
      <c r="F142" s="28">
        <v>360</v>
      </c>
    </row>
    <row r="143" spans="1:6" x14ac:dyDescent="0.2">
      <c r="A143" s="26">
        <v>43968</v>
      </c>
      <c r="B143" s="27" t="s">
        <v>22</v>
      </c>
      <c r="C143" s="27">
        <v>3</v>
      </c>
      <c r="D143" s="27" t="s">
        <v>4</v>
      </c>
      <c r="E143" s="27">
        <v>11</v>
      </c>
      <c r="F143" s="28">
        <v>511</v>
      </c>
    </row>
    <row r="144" spans="1:6" x14ac:dyDescent="0.2">
      <c r="A144" s="26">
        <v>43968</v>
      </c>
      <c r="B144" s="27" t="s">
        <v>22</v>
      </c>
      <c r="C144" s="27">
        <v>3</v>
      </c>
      <c r="D144" s="27" t="s">
        <v>7</v>
      </c>
      <c r="E144" s="27">
        <v>2</v>
      </c>
      <c r="F144" s="28">
        <v>136</v>
      </c>
    </row>
    <row r="145" spans="1:6" x14ac:dyDescent="0.2">
      <c r="A145" s="26">
        <v>43968</v>
      </c>
      <c r="B145" s="27" t="s">
        <v>22</v>
      </c>
      <c r="C145" s="27">
        <v>3</v>
      </c>
      <c r="D145" s="27" t="s">
        <v>13</v>
      </c>
      <c r="E145" s="27">
        <v>1</v>
      </c>
      <c r="F145" s="28">
        <v>75</v>
      </c>
    </row>
    <row r="146" spans="1:6" x14ac:dyDescent="0.2">
      <c r="A146" s="26">
        <v>43968</v>
      </c>
      <c r="B146" s="27" t="s">
        <v>22</v>
      </c>
      <c r="C146" s="27">
        <v>3</v>
      </c>
      <c r="D146" s="27" t="s">
        <v>14</v>
      </c>
      <c r="E146" s="27">
        <v>4</v>
      </c>
      <c r="F146" s="28">
        <v>115</v>
      </c>
    </row>
    <row r="147" spans="1:6" x14ac:dyDescent="0.2">
      <c r="A147" s="26">
        <v>43969</v>
      </c>
      <c r="B147" s="27" t="s">
        <v>23</v>
      </c>
      <c r="C147" s="27">
        <v>3</v>
      </c>
      <c r="D147" s="27" t="s">
        <v>35</v>
      </c>
      <c r="E147" s="27">
        <v>0</v>
      </c>
      <c r="F147" s="28">
        <v>0</v>
      </c>
    </row>
    <row r="148" spans="1:6" x14ac:dyDescent="0.2">
      <c r="A148" s="26">
        <v>43970</v>
      </c>
      <c r="B148" s="27" t="s">
        <v>24</v>
      </c>
      <c r="C148" s="27">
        <v>3</v>
      </c>
      <c r="D148" s="27" t="s">
        <v>5</v>
      </c>
      <c r="E148" s="27">
        <v>2</v>
      </c>
      <c r="F148" s="28">
        <v>96</v>
      </c>
    </row>
    <row r="149" spans="1:6" x14ac:dyDescent="0.2">
      <c r="A149" s="26">
        <v>43970</v>
      </c>
      <c r="B149" s="27" t="s">
        <v>24</v>
      </c>
      <c r="C149" s="27">
        <v>3</v>
      </c>
      <c r="D149" s="27" t="s">
        <v>2</v>
      </c>
      <c r="E149" s="27">
        <v>2</v>
      </c>
      <c r="F149" s="28">
        <v>30</v>
      </c>
    </row>
    <row r="150" spans="1:6" x14ac:dyDescent="0.2">
      <c r="A150" s="26">
        <v>43970</v>
      </c>
      <c r="B150" s="27" t="s">
        <v>24</v>
      </c>
      <c r="C150" s="27">
        <v>3</v>
      </c>
      <c r="D150" s="27" t="s">
        <v>6</v>
      </c>
      <c r="E150" s="27">
        <v>11</v>
      </c>
      <c r="F150" s="28">
        <v>20</v>
      </c>
    </row>
    <row r="151" spans="1:6" x14ac:dyDescent="0.2">
      <c r="A151" s="26">
        <v>43970</v>
      </c>
      <c r="B151" s="27" t="s">
        <v>24</v>
      </c>
      <c r="C151" s="27">
        <v>3</v>
      </c>
      <c r="D151" s="27" t="s">
        <v>1</v>
      </c>
      <c r="E151" s="27">
        <v>32</v>
      </c>
      <c r="F151" s="28">
        <v>430</v>
      </c>
    </row>
    <row r="152" spans="1:6" x14ac:dyDescent="0.2">
      <c r="A152" s="26">
        <v>43970</v>
      </c>
      <c r="B152" s="27" t="s">
        <v>24</v>
      </c>
      <c r="C152" s="27">
        <v>3</v>
      </c>
      <c r="D152" s="27" t="s">
        <v>11</v>
      </c>
      <c r="E152" s="27">
        <v>22</v>
      </c>
      <c r="F152" s="28">
        <v>110</v>
      </c>
    </row>
    <row r="153" spans="1:6" x14ac:dyDescent="0.2">
      <c r="A153" s="26">
        <v>43970</v>
      </c>
      <c r="B153" s="27" t="s">
        <v>24</v>
      </c>
      <c r="C153" s="27">
        <v>3</v>
      </c>
      <c r="D153" s="27" t="s">
        <v>16</v>
      </c>
      <c r="E153" s="27">
        <v>39</v>
      </c>
      <c r="F153" s="28">
        <v>975</v>
      </c>
    </row>
    <row r="154" spans="1:6" x14ac:dyDescent="0.2">
      <c r="A154" s="26">
        <v>43970</v>
      </c>
      <c r="B154" s="27" t="s">
        <v>24</v>
      </c>
      <c r="C154" s="27">
        <v>3</v>
      </c>
      <c r="D154" s="27" t="s">
        <v>0</v>
      </c>
      <c r="E154" s="27">
        <v>15</v>
      </c>
      <c r="F154" s="28">
        <v>575</v>
      </c>
    </row>
    <row r="155" spans="1:6" x14ac:dyDescent="0.2">
      <c r="A155" s="26">
        <v>43970</v>
      </c>
      <c r="B155" s="27" t="s">
        <v>24</v>
      </c>
      <c r="C155" s="27">
        <v>3</v>
      </c>
      <c r="D155" s="27" t="s">
        <v>4</v>
      </c>
      <c r="E155" s="27">
        <v>2</v>
      </c>
      <c r="F155" s="28">
        <v>198</v>
      </c>
    </row>
    <row r="156" spans="1:6" x14ac:dyDescent="0.2">
      <c r="A156" s="26">
        <v>43970</v>
      </c>
      <c r="B156" s="27" t="s">
        <v>24</v>
      </c>
      <c r="C156" s="27">
        <v>3</v>
      </c>
      <c r="D156" s="27" t="s">
        <v>19</v>
      </c>
      <c r="E156" s="27">
        <v>1</v>
      </c>
      <c r="F156" s="28">
        <v>70</v>
      </c>
    </row>
    <row r="157" spans="1:6" x14ac:dyDescent="0.2">
      <c r="A157" s="26">
        <v>43970</v>
      </c>
      <c r="B157" s="27" t="s">
        <v>24</v>
      </c>
      <c r="C157" s="27">
        <v>3</v>
      </c>
      <c r="D157" s="27" t="s">
        <v>13</v>
      </c>
      <c r="E157" s="27">
        <v>7</v>
      </c>
      <c r="F157" s="28">
        <v>525</v>
      </c>
    </row>
    <row r="158" spans="1:6" x14ac:dyDescent="0.2">
      <c r="A158" s="26">
        <v>43970</v>
      </c>
      <c r="B158" s="27" t="s">
        <v>24</v>
      </c>
      <c r="C158" s="27">
        <v>3</v>
      </c>
      <c r="D158" s="27" t="s">
        <v>14</v>
      </c>
      <c r="E158" s="27">
        <v>6</v>
      </c>
      <c r="F158" s="28">
        <v>180</v>
      </c>
    </row>
    <row r="159" spans="1:6" x14ac:dyDescent="0.2">
      <c r="A159" s="26">
        <v>43971</v>
      </c>
      <c r="B159" s="27" t="s">
        <v>25</v>
      </c>
      <c r="C159" s="27">
        <v>3</v>
      </c>
      <c r="D159" s="27" t="s">
        <v>6</v>
      </c>
      <c r="E159" s="27">
        <v>4</v>
      </c>
      <c r="F159" s="28">
        <v>40</v>
      </c>
    </row>
    <row r="160" spans="1:6" x14ac:dyDescent="0.2">
      <c r="A160" s="26">
        <v>43971</v>
      </c>
      <c r="B160" s="27" t="s">
        <v>25</v>
      </c>
      <c r="C160" s="27">
        <v>3</v>
      </c>
      <c r="D160" s="27" t="s">
        <v>1</v>
      </c>
      <c r="E160" s="27">
        <v>5</v>
      </c>
      <c r="F160" s="28">
        <v>70</v>
      </c>
    </row>
    <row r="161" spans="1:6" x14ac:dyDescent="0.2">
      <c r="A161" s="26">
        <v>43971</v>
      </c>
      <c r="B161" s="27" t="s">
        <v>25</v>
      </c>
      <c r="C161" s="27">
        <v>3</v>
      </c>
      <c r="D161" s="27" t="s">
        <v>11</v>
      </c>
      <c r="E161" s="27">
        <v>5</v>
      </c>
      <c r="F161" s="28">
        <v>25</v>
      </c>
    </row>
    <row r="162" spans="1:6" x14ac:dyDescent="0.2">
      <c r="A162" s="26">
        <v>43971</v>
      </c>
      <c r="B162" s="27" t="s">
        <v>25</v>
      </c>
      <c r="C162" s="27">
        <v>3</v>
      </c>
      <c r="D162" s="27" t="s">
        <v>0</v>
      </c>
      <c r="E162" s="27">
        <v>13</v>
      </c>
      <c r="F162" s="28">
        <v>270</v>
      </c>
    </row>
    <row r="163" spans="1:6" x14ac:dyDescent="0.2">
      <c r="A163" s="26">
        <v>43971</v>
      </c>
      <c r="B163" s="27" t="s">
        <v>25</v>
      </c>
      <c r="C163" s="27">
        <v>3</v>
      </c>
      <c r="D163" s="27" t="s">
        <v>4</v>
      </c>
      <c r="E163" s="27">
        <v>7</v>
      </c>
      <c r="F163" s="28">
        <v>645</v>
      </c>
    </row>
    <row r="164" spans="1:6" x14ac:dyDescent="0.2">
      <c r="A164" s="26">
        <v>43971</v>
      </c>
      <c r="B164" s="27" t="s">
        <v>25</v>
      </c>
      <c r="C164" s="27">
        <v>3</v>
      </c>
      <c r="D164" s="27" t="s">
        <v>13</v>
      </c>
      <c r="E164" s="27">
        <v>3</v>
      </c>
      <c r="F164" s="28">
        <v>225</v>
      </c>
    </row>
    <row r="165" spans="1:6" x14ac:dyDescent="0.2">
      <c r="A165" s="26">
        <v>43971</v>
      </c>
      <c r="B165" s="27" t="s">
        <v>25</v>
      </c>
      <c r="C165" s="27">
        <v>3</v>
      </c>
      <c r="D165" s="27" t="s">
        <v>14</v>
      </c>
      <c r="E165" s="27">
        <v>3</v>
      </c>
      <c r="F165" s="28">
        <v>90</v>
      </c>
    </row>
    <row r="166" spans="1:6" x14ac:dyDescent="0.2">
      <c r="A166" s="26">
        <v>43972</v>
      </c>
      <c r="B166" s="27" t="s">
        <v>26</v>
      </c>
      <c r="C166" s="27">
        <v>3</v>
      </c>
      <c r="D166" s="27" t="s">
        <v>5</v>
      </c>
      <c r="E166" s="27">
        <v>3</v>
      </c>
      <c r="F166" s="28">
        <v>144</v>
      </c>
    </row>
    <row r="167" spans="1:6" x14ac:dyDescent="0.2">
      <c r="A167" s="26">
        <v>43972</v>
      </c>
      <c r="B167" s="27" t="s">
        <v>26</v>
      </c>
      <c r="C167" s="27">
        <v>3</v>
      </c>
      <c r="D167" s="27" t="s">
        <v>1</v>
      </c>
      <c r="E167" s="27">
        <v>12</v>
      </c>
      <c r="F167" s="28">
        <v>150</v>
      </c>
    </row>
    <row r="168" spans="1:6" x14ac:dyDescent="0.2">
      <c r="A168" s="26">
        <v>43972</v>
      </c>
      <c r="B168" s="27" t="s">
        <v>26</v>
      </c>
      <c r="C168" s="27">
        <v>3</v>
      </c>
      <c r="D168" s="27" t="s">
        <v>0</v>
      </c>
      <c r="E168" s="27">
        <v>1</v>
      </c>
      <c r="F168" s="28">
        <v>30</v>
      </c>
    </row>
    <row r="169" spans="1:6" x14ac:dyDescent="0.2">
      <c r="A169" s="26">
        <v>43972</v>
      </c>
      <c r="B169" s="27" t="s">
        <v>26</v>
      </c>
      <c r="C169" s="27">
        <v>3</v>
      </c>
      <c r="D169" s="27" t="s">
        <v>4</v>
      </c>
      <c r="E169" s="27">
        <v>7</v>
      </c>
      <c r="F169" s="28">
        <v>634</v>
      </c>
    </row>
    <row r="170" spans="1:6" x14ac:dyDescent="0.2">
      <c r="A170" s="26">
        <v>43972</v>
      </c>
      <c r="B170" s="27" t="s">
        <v>26</v>
      </c>
      <c r="C170" s="27">
        <v>3</v>
      </c>
      <c r="D170" s="27" t="s">
        <v>13</v>
      </c>
      <c r="E170" s="27">
        <v>4</v>
      </c>
      <c r="F170" s="28">
        <v>300</v>
      </c>
    </row>
    <row r="171" spans="1:6" x14ac:dyDescent="0.2">
      <c r="A171" s="26">
        <v>43972</v>
      </c>
      <c r="B171" s="27" t="s">
        <v>26</v>
      </c>
      <c r="C171" s="27">
        <v>3</v>
      </c>
      <c r="D171" s="27" t="s">
        <v>14</v>
      </c>
      <c r="E171" s="27">
        <v>5</v>
      </c>
      <c r="F171" s="28">
        <v>160</v>
      </c>
    </row>
    <row r="172" spans="1:6" x14ac:dyDescent="0.2">
      <c r="A172" s="26">
        <v>43973</v>
      </c>
      <c r="B172" s="27" t="s">
        <v>20</v>
      </c>
      <c r="C172" s="27">
        <v>4</v>
      </c>
      <c r="D172" s="27" t="s">
        <v>6</v>
      </c>
      <c r="E172" s="27">
        <v>1</v>
      </c>
      <c r="F172" s="28">
        <v>10</v>
      </c>
    </row>
    <row r="173" spans="1:6" x14ac:dyDescent="0.2">
      <c r="A173" s="26">
        <v>43973</v>
      </c>
      <c r="B173" s="27" t="s">
        <v>20</v>
      </c>
      <c r="C173" s="27">
        <v>4</v>
      </c>
      <c r="D173" s="27" t="s">
        <v>1</v>
      </c>
      <c r="E173" s="27">
        <v>13</v>
      </c>
      <c r="F173" s="28">
        <v>150</v>
      </c>
    </row>
    <row r="174" spans="1:6" x14ac:dyDescent="0.2">
      <c r="A174" s="26">
        <v>43973</v>
      </c>
      <c r="B174" s="27" t="s">
        <v>20</v>
      </c>
      <c r="C174" s="27">
        <v>4</v>
      </c>
      <c r="D174" s="27" t="s">
        <v>11</v>
      </c>
      <c r="E174" s="27">
        <v>32</v>
      </c>
      <c r="F174" s="28">
        <v>160</v>
      </c>
    </row>
    <row r="175" spans="1:6" x14ac:dyDescent="0.2">
      <c r="A175" s="26">
        <v>43973</v>
      </c>
      <c r="B175" s="27" t="s">
        <v>20</v>
      </c>
      <c r="C175" s="27">
        <v>4</v>
      </c>
      <c r="D175" s="27" t="s">
        <v>0</v>
      </c>
      <c r="E175" s="27">
        <v>7</v>
      </c>
      <c r="F175" s="28">
        <v>290</v>
      </c>
    </row>
    <row r="176" spans="1:6" x14ac:dyDescent="0.2">
      <c r="A176" s="26">
        <v>43973</v>
      </c>
      <c r="B176" s="27" t="s">
        <v>20</v>
      </c>
      <c r="C176" s="27">
        <v>4</v>
      </c>
      <c r="D176" s="27" t="s">
        <v>4</v>
      </c>
      <c r="E176" s="27">
        <v>6</v>
      </c>
      <c r="F176" s="28">
        <v>387</v>
      </c>
    </row>
    <row r="177" spans="1:6" x14ac:dyDescent="0.2">
      <c r="A177" s="26">
        <v>43973</v>
      </c>
      <c r="B177" s="27" t="s">
        <v>20</v>
      </c>
      <c r="C177" s="27">
        <v>4</v>
      </c>
      <c r="D177" s="27" t="s">
        <v>12</v>
      </c>
      <c r="E177" s="27">
        <v>4</v>
      </c>
      <c r="F177" s="28">
        <v>80</v>
      </c>
    </row>
    <row r="178" spans="1:6" x14ac:dyDescent="0.2">
      <c r="A178" s="26">
        <v>43973</v>
      </c>
      <c r="B178" s="27" t="s">
        <v>20</v>
      </c>
      <c r="C178" s="27">
        <v>4</v>
      </c>
      <c r="D178" s="27" t="s">
        <v>14</v>
      </c>
      <c r="E178" s="27">
        <v>3</v>
      </c>
      <c r="F178" s="28">
        <v>90</v>
      </c>
    </row>
    <row r="179" spans="1:6" x14ac:dyDescent="0.2">
      <c r="A179" s="26">
        <v>43974</v>
      </c>
      <c r="B179" s="27" t="s">
        <v>21</v>
      </c>
      <c r="C179" s="27">
        <v>4</v>
      </c>
      <c r="D179" s="27" t="s">
        <v>5</v>
      </c>
      <c r="E179" s="27">
        <v>4</v>
      </c>
      <c r="F179" s="28">
        <v>154</v>
      </c>
    </row>
    <row r="180" spans="1:6" x14ac:dyDescent="0.2">
      <c r="A180" s="26">
        <v>43974</v>
      </c>
      <c r="B180" s="27" t="s">
        <v>21</v>
      </c>
      <c r="C180" s="27">
        <v>4</v>
      </c>
      <c r="D180" s="27" t="s">
        <v>6</v>
      </c>
      <c r="E180" s="27">
        <v>9</v>
      </c>
      <c r="F180" s="28">
        <v>200</v>
      </c>
    </row>
    <row r="181" spans="1:6" x14ac:dyDescent="0.2">
      <c r="A181" s="26">
        <v>43974</v>
      </c>
      <c r="B181" s="27" t="s">
        <v>21</v>
      </c>
      <c r="C181" s="27">
        <v>4</v>
      </c>
      <c r="D181" s="27" t="s">
        <v>1</v>
      </c>
      <c r="E181" s="27">
        <v>13</v>
      </c>
      <c r="F181" s="28">
        <v>161</v>
      </c>
    </row>
    <row r="182" spans="1:6" x14ac:dyDescent="0.2">
      <c r="A182" s="26">
        <v>43974</v>
      </c>
      <c r="B182" s="27" t="s">
        <v>21</v>
      </c>
      <c r="C182" s="27">
        <v>4</v>
      </c>
      <c r="D182" s="27" t="s">
        <v>0</v>
      </c>
      <c r="E182" s="27">
        <v>18</v>
      </c>
      <c r="F182" s="28">
        <v>425</v>
      </c>
    </row>
    <row r="183" spans="1:6" x14ac:dyDescent="0.2">
      <c r="A183" s="26">
        <v>43974</v>
      </c>
      <c r="B183" s="27" t="s">
        <v>21</v>
      </c>
      <c r="C183" s="27">
        <v>4</v>
      </c>
      <c r="D183" s="27" t="s">
        <v>4</v>
      </c>
      <c r="E183" s="27">
        <v>15</v>
      </c>
      <c r="F183" s="28">
        <v>681</v>
      </c>
    </row>
    <row r="184" spans="1:6" x14ac:dyDescent="0.2">
      <c r="A184" s="26">
        <v>43974</v>
      </c>
      <c r="B184" s="27" t="s">
        <v>21</v>
      </c>
      <c r="C184" s="27">
        <v>4</v>
      </c>
      <c r="D184" s="27" t="s">
        <v>7</v>
      </c>
      <c r="E184" s="27">
        <v>1</v>
      </c>
      <c r="F184" s="28">
        <v>125</v>
      </c>
    </row>
    <row r="185" spans="1:6" x14ac:dyDescent="0.2">
      <c r="A185" s="26">
        <v>43974</v>
      </c>
      <c r="B185" s="27" t="s">
        <v>21</v>
      </c>
      <c r="C185" s="27">
        <v>4</v>
      </c>
      <c r="D185" s="27" t="s">
        <v>14</v>
      </c>
      <c r="E185" s="27">
        <v>5</v>
      </c>
      <c r="F185" s="28">
        <v>150</v>
      </c>
    </row>
    <row r="186" spans="1:6" x14ac:dyDescent="0.2">
      <c r="A186" s="26">
        <v>43975</v>
      </c>
      <c r="B186" s="27" t="s">
        <v>22</v>
      </c>
      <c r="C186" s="27">
        <v>4</v>
      </c>
      <c r="D186" s="27" t="s">
        <v>35</v>
      </c>
      <c r="E186" s="27">
        <v>0</v>
      </c>
      <c r="F186" s="28">
        <v>0</v>
      </c>
    </row>
    <row r="187" spans="1:6" x14ac:dyDescent="0.2">
      <c r="A187" s="26">
        <v>43976</v>
      </c>
      <c r="B187" s="27" t="s">
        <v>23</v>
      </c>
      <c r="C187" s="27">
        <v>4</v>
      </c>
      <c r="D187" s="27" t="s">
        <v>5</v>
      </c>
      <c r="E187" s="27">
        <v>4</v>
      </c>
      <c r="F187" s="28">
        <v>192</v>
      </c>
    </row>
    <row r="188" spans="1:6" x14ac:dyDescent="0.2">
      <c r="A188" s="26">
        <v>43976</v>
      </c>
      <c r="B188" s="27" t="s">
        <v>23</v>
      </c>
      <c r="C188" s="27">
        <v>4</v>
      </c>
      <c r="D188" s="27" t="s">
        <v>6</v>
      </c>
      <c r="E188" s="27">
        <v>12</v>
      </c>
      <c r="F188" s="28">
        <v>70</v>
      </c>
    </row>
    <row r="189" spans="1:6" x14ac:dyDescent="0.2">
      <c r="A189" s="26">
        <v>43976</v>
      </c>
      <c r="B189" s="27" t="s">
        <v>23</v>
      </c>
      <c r="C189" s="27">
        <v>4</v>
      </c>
      <c r="D189" s="27" t="s">
        <v>1</v>
      </c>
      <c r="E189" s="27">
        <v>21</v>
      </c>
      <c r="F189" s="28">
        <v>230</v>
      </c>
    </row>
    <row r="190" spans="1:6" x14ac:dyDescent="0.2">
      <c r="A190" s="26">
        <v>43976</v>
      </c>
      <c r="B190" s="27" t="s">
        <v>23</v>
      </c>
      <c r="C190" s="27">
        <v>4</v>
      </c>
      <c r="D190" s="27" t="s">
        <v>16</v>
      </c>
      <c r="E190" s="27">
        <v>7</v>
      </c>
      <c r="F190" s="28">
        <v>175</v>
      </c>
    </row>
    <row r="191" spans="1:6" x14ac:dyDescent="0.2">
      <c r="A191" s="26">
        <v>43976</v>
      </c>
      <c r="B191" s="27" t="s">
        <v>23</v>
      </c>
      <c r="C191" s="27">
        <v>4</v>
      </c>
      <c r="D191" s="27" t="s">
        <v>0</v>
      </c>
      <c r="E191" s="27">
        <v>5</v>
      </c>
      <c r="F191" s="28">
        <v>620</v>
      </c>
    </row>
    <row r="192" spans="1:6" x14ac:dyDescent="0.2">
      <c r="A192" s="26">
        <v>43976</v>
      </c>
      <c r="B192" s="27" t="s">
        <v>23</v>
      </c>
      <c r="C192" s="27">
        <v>4</v>
      </c>
      <c r="D192" s="27" t="s">
        <v>4</v>
      </c>
      <c r="E192" s="27">
        <v>10</v>
      </c>
      <c r="F192" s="28">
        <v>310</v>
      </c>
    </row>
    <row r="193" spans="1:6" x14ac:dyDescent="0.2">
      <c r="A193" s="26">
        <v>43976</v>
      </c>
      <c r="B193" s="27" t="s">
        <v>23</v>
      </c>
      <c r="C193" s="27">
        <v>4</v>
      </c>
      <c r="D193" s="27" t="s">
        <v>14</v>
      </c>
      <c r="E193" s="27">
        <v>5</v>
      </c>
      <c r="F193" s="28">
        <v>295</v>
      </c>
    </row>
    <row r="194" spans="1:6" x14ac:dyDescent="0.2">
      <c r="A194" s="26">
        <v>43977</v>
      </c>
      <c r="B194" s="27" t="s">
        <v>24</v>
      </c>
      <c r="C194" s="27">
        <v>4</v>
      </c>
      <c r="D194" s="27" t="s">
        <v>5</v>
      </c>
      <c r="E194" s="27">
        <v>2</v>
      </c>
      <c r="F194" s="28">
        <v>96</v>
      </c>
    </row>
    <row r="195" spans="1:6" x14ac:dyDescent="0.2">
      <c r="A195" s="26">
        <v>43977</v>
      </c>
      <c r="B195" s="27" t="s">
        <v>24</v>
      </c>
      <c r="C195" s="27">
        <v>4</v>
      </c>
      <c r="D195" s="27" t="s">
        <v>6</v>
      </c>
      <c r="E195" s="27">
        <v>17</v>
      </c>
      <c r="F195" s="28">
        <v>120</v>
      </c>
    </row>
    <row r="196" spans="1:6" x14ac:dyDescent="0.2">
      <c r="A196" s="26">
        <v>43977</v>
      </c>
      <c r="B196" s="27" t="s">
        <v>24</v>
      </c>
      <c r="C196" s="27">
        <v>4</v>
      </c>
      <c r="D196" s="27" t="s">
        <v>1</v>
      </c>
      <c r="E196" s="27">
        <v>9</v>
      </c>
      <c r="F196" s="28">
        <v>90</v>
      </c>
    </row>
    <row r="197" spans="1:6" x14ac:dyDescent="0.2">
      <c r="A197" s="26">
        <v>43977</v>
      </c>
      <c r="B197" s="27" t="s">
        <v>24</v>
      </c>
      <c r="C197" s="27">
        <v>4</v>
      </c>
      <c r="D197" s="27" t="s">
        <v>11</v>
      </c>
      <c r="E197" s="27">
        <v>46</v>
      </c>
      <c r="F197" s="28">
        <v>230</v>
      </c>
    </row>
    <row r="198" spans="1:6" x14ac:dyDescent="0.2">
      <c r="A198" s="26">
        <v>43977</v>
      </c>
      <c r="B198" s="27" t="s">
        <v>24</v>
      </c>
      <c r="C198" s="27">
        <v>4</v>
      </c>
      <c r="D198" s="27" t="s">
        <v>16</v>
      </c>
      <c r="E198" s="27">
        <v>2</v>
      </c>
      <c r="F198" s="28">
        <v>50</v>
      </c>
    </row>
    <row r="199" spans="1:6" x14ac:dyDescent="0.2">
      <c r="A199" s="26">
        <v>43977</v>
      </c>
      <c r="B199" s="27" t="s">
        <v>24</v>
      </c>
      <c r="C199" s="27">
        <v>4</v>
      </c>
      <c r="D199" s="27" t="s">
        <v>0</v>
      </c>
      <c r="E199" s="27">
        <v>1</v>
      </c>
      <c r="F199" s="28">
        <v>240</v>
      </c>
    </row>
    <row r="200" spans="1:6" x14ac:dyDescent="0.2">
      <c r="A200" s="26">
        <v>43977</v>
      </c>
      <c r="B200" s="27" t="s">
        <v>24</v>
      </c>
      <c r="C200" s="27">
        <v>4</v>
      </c>
      <c r="D200" s="27" t="s">
        <v>4</v>
      </c>
      <c r="E200" s="27">
        <v>3</v>
      </c>
      <c r="F200" s="28">
        <v>30</v>
      </c>
    </row>
    <row r="201" spans="1:6" x14ac:dyDescent="0.2">
      <c r="A201" s="26">
        <v>43977</v>
      </c>
      <c r="B201" s="27" t="s">
        <v>24</v>
      </c>
      <c r="C201" s="27">
        <v>4</v>
      </c>
      <c r="D201" s="27" t="s">
        <v>14</v>
      </c>
      <c r="E201" s="27">
        <v>9</v>
      </c>
      <c r="F201" s="28">
        <v>260</v>
      </c>
    </row>
    <row r="202" spans="1:6" x14ac:dyDescent="0.2">
      <c r="A202" s="26">
        <v>43978</v>
      </c>
      <c r="B202" s="27" t="s">
        <v>25</v>
      </c>
      <c r="C202" s="27">
        <v>4</v>
      </c>
      <c r="D202" s="27" t="s">
        <v>6</v>
      </c>
      <c r="E202" s="27">
        <v>1</v>
      </c>
      <c r="F202" s="28">
        <v>5</v>
      </c>
    </row>
    <row r="203" spans="1:6" x14ac:dyDescent="0.2">
      <c r="A203" s="26">
        <v>43978</v>
      </c>
      <c r="B203" s="27" t="s">
        <v>25</v>
      </c>
      <c r="C203" s="27">
        <v>4</v>
      </c>
      <c r="D203" s="27" t="s">
        <v>1</v>
      </c>
      <c r="E203" s="27">
        <v>6</v>
      </c>
      <c r="F203" s="28">
        <v>90</v>
      </c>
    </row>
    <row r="204" spans="1:6" x14ac:dyDescent="0.2">
      <c r="A204" s="26">
        <v>43978</v>
      </c>
      <c r="B204" s="27" t="s">
        <v>25</v>
      </c>
      <c r="C204" s="27">
        <v>4</v>
      </c>
      <c r="D204" s="27" t="s">
        <v>16</v>
      </c>
      <c r="E204" s="27">
        <v>2</v>
      </c>
      <c r="F204" s="28">
        <v>50</v>
      </c>
    </row>
    <row r="205" spans="1:6" x14ac:dyDescent="0.2">
      <c r="A205" s="26">
        <v>43978</v>
      </c>
      <c r="B205" s="27" t="s">
        <v>25</v>
      </c>
      <c r="C205" s="27">
        <v>4</v>
      </c>
      <c r="D205" s="27" t="s">
        <v>0</v>
      </c>
      <c r="E205" s="27">
        <v>9</v>
      </c>
      <c r="F205" s="28">
        <v>185</v>
      </c>
    </row>
    <row r="206" spans="1:6" x14ac:dyDescent="0.2">
      <c r="A206" s="26">
        <v>43978</v>
      </c>
      <c r="B206" s="27" t="s">
        <v>25</v>
      </c>
      <c r="C206" s="27">
        <v>4</v>
      </c>
      <c r="D206" s="27" t="s">
        <v>4</v>
      </c>
      <c r="E206" s="27">
        <v>4</v>
      </c>
      <c r="F206" s="28">
        <v>328</v>
      </c>
    </row>
    <row r="207" spans="1:6" x14ac:dyDescent="0.2">
      <c r="A207" s="26">
        <v>43978</v>
      </c>
      <c r="B207" s="27" t="s">
        <v>25</v>
      </c>
      <c r="C207" s="27">
        <v>4</v>
      </c>
      <c r="D207" s="27" t="s">
        <v>14</v>
      </c>
      <c r="E207" s="27">
        <v>2</v>
      </c>
      <c r="F207" s="28">
        <v>60</v>
      </c>
    </row>
    <row r="208" spans="1:6" x14ac:dyDescent="0.2">
      <c r="A208" s="26">
        <v>43979</v>
      </c>
      <c r="B208" s="27" t="s">
        <v>26</v>
      </c>
      <c r="C208" s="27">
        <v>4</v>
      </c>
      <c r="D208" s="27" t="s">
        <v>6</v>
      </c>
      <c r="E208" s="27">
        <v>15</v>
      </c>
      <c r="F208" s="28">
        <v>130</v>
      </c>
    </row>
    <row r="209" spans="1:6" x14ac:dyDescent="0.2">
      <c r="A209" s="26">
        <v>43979</v>
      </c>
      <c r="B209" s="27" t="s">
        <v>26</v>
      </c>
      <c r="C209" s="27">
        <v>4</v>
      </c>
      <c r="D209" s="27" t="s">
        <v>1</v>
      </c>
      <c r="E209" s="27">
        <v>4</v>
      </c>
      <c r="F209" s="28">
        <v>40</v>
      </c>
    </row>
    <row r="210" spans="1:6" x14ac:dyDescent="0.2">
      <c r="A210" s="26">
        <v>43979</v>
      </c>
      <c r="B210" s="27" t="s">
        <v>26</v>
      </c>
      <c r="C210" s="27">
        <v>4</v>
      </c>
      <c r="D210" s="27" t="s">
        <v>11</v>
      </c>
      <c r="E210" s="27">
        <v>30</v>
      </c>
      <c r="F210" s="28">
        <v>150</v>
      </c>
    </row>
    <row r="211" spans="1:6" x14ac:dyDescent="0.2">
      <c r="A211" s="26">
        <v>43979</v>
      </c>
      <c r="B211" s="27" t="s">
        <v>26</v>
      </c>
      <c r="C211" s="27">
        <v>4</v>
      </c>
      <c r="D211" s="27" t="s">
        <v>16</v>
      </c>
      <c r="E211" s="27">
        <v>6</v>
      </c>
      <c r="F211" s="28">
        <v>150</v>
      </c>
    </row>
    <row r="212" spans="1:6" x14ac:dyDescent="0.2">
      <c r="A212" s="26">
        <v>43979</v>
      </c>
      <c r="B212" s="27" t="s">
        <v>26</v>
      </c>
      <c r="C212" s="27">
        <v>4</v>
      </c>
      <c r="D212" s="27" t="s">
        <v>0</v>
      </c>
      <c r="E212" s="27">
        <v>6</v>
      </c>
      <c r="F212" s="28">
        <v>120</v>
      </c>
    </row>
    <row r="213" spans="1:6" x14ac:dyDescent="0.2">
      <c r="A213" s="26">
        <v>43979</v>
      </c>
      <c r="B213" s="27" t="s">
        <v>26</v>
      </c>
      <c r="C213" s="27">
        <v>4</v>
      </c>
      <c r="D213" s="27" t="s">
        <v>4</v>
      </c>
      <c r="E213" s="27">
        <v>5</v>
      </c>
      <c r="F213" s="28">
        <v>318</v>
      </c>
    </row>
    <row r="214" spans="1:6" x14ac:dyDescent="0.2">
      <c r="A214" s="26">
        <v>43979</v>
      </c>
      <c r="B214" s="27" t="s">
        <v>26</v>
      </c>
      <c r="C214" s="27">
        <v>4</v>
      </c>
      <c r="D214" s="27" t="s">
        <v>14</v>
      </c>
      <c r="E214" s="27">
        <v>1</v>
      </c>
      <c r="F214" s="28">
        <v>30</v>
      </c>
    </row>
    <row r="215" spans="1:6" x14ac:dyDescent="0.2">
      <c r="A215" s="26">
        <v>43980</v>
      </c>
      <c r="B215" s="27" t="s">
        <v>20</v>
      </c>
      <c r="C215" s="27">
        <v>4</v>
      </c>
      <c r="D215" s="27" t="s">
        <v>5</v>
      </c>
      <c r="E215" s="27">
        <v>2</v>
      </c>
      <c r="F215" s="28">
        <v>96</v>
      </c>
    </row>
    <row r="216" spans="1:6" x14ac:dyDescent="0.2">
      <c r="A216" s="26">
        <v>43980</v>
      </c>
      <c r="B216" s="27" t="s">
        <v>20</v>
      </c>
      <c r="C216" s="27">
        <v>4</v>
      </c>
      <c r="D216" s="27" t="s">
        <v>6</v>
      </c>
      <c r="E216" s="27">
        <v>2</v>
      </c>
      <c r="F216" s="28">
        <v>170</v>
      </c>
    </row>
    <row r="217" spans="1:6" x14ac:dyDescent="0.2">
      <c r="A217" s="26">
        <v>43980</v>
      </c>
      <c r="B217" s="27" t="s">
        <v>20</v>
      </c>
      <c r="C217" s="27">
        <v>4</v>
      </c>
      <c r="D217" s="27" t="s">
        <v>1</v>
      </c>
      <c r="E217" s="27">
        <v>5</v>
      </c>
      <c r="F217" s="28">
        <v>60</v>
      </c>
    </row>
    <row r="218" spans="1:6" x14ac:dyDescent="0.2">
      <c r="A218" s="26">
        <v>43980</v>
      </c>
      <c r="B218" s="27" t="s">
        <v>20</v>
      </c>
      <c r="C218" s="27">
        <v>4</v>
      </c>
      <c r="D218" s="27" t="s">
        <v>11</v>
      </c>
      <c r="E218" s="27">
        <v>8</v>
      </c>
      <c r="F218" s="28">
        <v>40</v>
      </c>
    </row>
    <row r="219" spans="1:6" x14ac:dyDescent="0.2">
      <c r="A219" s="26">
        <v>43980</v>
      </c>
      <c r="B219" s="27" t="s">
        <v>20</v>
      </c>
      <c r="C219" s="27">
        <v>4</v>
      </c>
      <c r="D219" s="27" t="s">
        <v>16</v>
      </c>
      <c r="E219" s="27">
        <v>4</v>
      </c>
      <c r="F219" s="28">
        <v>100</v>
      </c>
    </row>
    <row r="220" spans="1:6" x14ac:dyDescent="0.2">
      <c r="A220" s="26">
        <v>43980</v>
      </c>
      <c r="B220" s="27" t="s">
        <v>20</v>
      </c>
      <c r="C220" s="27">
        <v>4</v>
      </c>
      <c r="D220" s="27" t="s">
        <v>0</v>
      </c>
      <c r="E220" s="27">
        <v>3</v>
      </c>
      <c r="F220" s="28">
        <v>75</v>
      </c>
    </row>
    <row r="221" spans="1:6" x14ac:dyDescent="0.2">
      <c r="A221" s="26">
        <v>43980</v>
      </c>
      <c r="B221" s="27" t="s">
        <v>20</v>
      </c>
      <c r="C221" s="27">
        <v>4</v>
      </c>
      <c r="D221" s="27" t="s">
        <v>4</v>
      </c>
      <c r="E221" s="27">
        <v>3</v>
      </c>
      <c r="F221" s="28">
        <v>123</v>
      </c>
    </row>
    <row r="222" spans="1:6" x14ac:dyDescent="0.2">
      <c r="A222" s="26">
        <v>43980</v>
      </c>
      <c r="B222" s="27" t="s">
        <v>20</v>
      </c>
      <c r="C222" s="27">
        <v>4</v>
      </c>
      <c r="D222" s="27" t="s">
        <v>14</v>
      </c>
      <c r="E222" s="27">
        <v>7</v>
      </c>
      <c r="F222" s="28">
        <v>210</v>
      </c>
    </row>
    <row r="223" spans="1:6" x14ac:dyDescent="0.2">
      <c r="A223" s="26">
        <v>43981</v>
      </c>
      <c r="B223" s="27" t="s">
        <v>21</v>
      </c>
      <c r="C223" s="27">
        <v>4</v>
      </c>
      <c r="D223" s="27" t="s">
        <v>1</v>
      </c>
      <c r="E223" s="27">
        <v>21</v>
      </c>
      <c r="F223" s="28">
        <v>241</v>
      </c>
    </row>
    <row r="224" spans="1:6" x14ac:dyDescent="0.2">
      <c r="A224" s="26">
        <v>43981</v>
      </c>
      <c r="B224" s="27" t="s">
        <v>21</v>
      </c>
      <c r="C224" s="27">
        <v>4</v>
      </c>
      <c r="D224" s="27" t="s">
        <v>11</v>
      </c>
      <c r="E224" s="27">
        <v>41</v>
      </c>
      <c r="F224" s="28">
        <v>205</v>
      </c>
    </row>
    <row r="225" spans="1:6" x14ac:dyDescent="0.2">
      <c r="A225" s="26">
        <v>43981</v>
      </c>
      <c r="B225" s="27" t="s">
        <v>21</v>
      </c>
      <c r="C225" s="27">
        <v>4</v>
      </c>
      <c r="D225" s="27" t="s">
        <v>16</v>
      </c>
      <c r="E225" s="27">
        <v>8</v>
      </c>
      <c r="F225" s="28">
        <v>200</v>
      </c>
    </row>
    <row r="226" spans="1:6" x14ac:dyDescent="0.2">
      <c r="A226" s="26">
        <v>43981</v>
      </c>
      <c r="B226" s="27" t="s">
        <v>21</v>
      </c>
      <c r="C226" s="27">
        <v>4</v>
      </c>
      <c r="D226" s="27" t="s">
        <v>0</v>
      </c>
      <c r="E226" s="27">
        <v>6</v>
      </c>
      <c r="F226" s="28">
        <v>190</v>
      </c>
    </row>
    <row r="227" spans="1:6" x14ac:dyDescent="0.2">
      <c r="A227" s="26">
        <v>43981</v>
      </c>
      <c r="B227" s="27" t="s">
        <v>21</v>
      </c>
      <c r="C227" s="27">
        <v>4</v>
      </c>
      <c r="D227" s="27" t="s">
        <v>4</v>
      </c>
      <c r="E227" s="27">
        <v>10</v>
      </c>
      <c r="F227" s="28">
        <v>417</v>
      </c>
    </row>
    <row r="228" spans="1:6" x14ac:dyDescent="0.2">
      <c r="A228" s="26">
        <v>43981</v>
      </c>
      <c r="B228" s="27" t="s">
        <v>21</v>
      </c>
      <c r="C228" s="27">
        <v>4</v>
      </c>
      <c r="D228" s="27" t="s">
        <v>7</v>
      </c>
      <c r="E228" s="27">
        <v>2</v>
      </c>
      <c r="F228" s="28">
        <v>246</v>
      </c>
    </row>
    <row r="229" spans="1:6" x14ac:dyDescent="0.2">
      <c r="A229" s="26">
        <v>43981</v>
      </c>
      <c r="B229" s="27" t="s">
        <v>21</v>
      </c>
      <c r="C229" s="27">
        <v>4</v>
      </c>
      <c r="D229" s="27" t="s">
        <v>13</v>
      </c>
      <c r="E229" s="27">
        <v>1</v>
      </c>
      <c r="F229" s="28">
        <v>75</v>
      </c>
    </row>
    <row r="230" spans="1:6" x14ac:dyDescent="0.2">
      <c r="A230" s="26">
        <v>43981</v>
      </c>
      <c r="B230" s="27" t="s">
        <v>21</v>
      </c>
      <c r="C230" s="27">
        <v>4</v>
      </c>
      <c r="D230" s="27" t="s">
        <v>12</v>
      </c>
      <c r="E230" s="27">
        <v>1</v>
      </c>
      <c r="F230" s="28">
        <v>120</v>
      </c>
    </row>
    <row r="231" spans="1:6" x14ac:dyDescent="0.2">
      <c r="A231" s="26">
        <v>43981</v>
      </c>
      <c r="B231" s="27" t="s">
        <v>21</v>
      </c>
      <c r="C231" s="27">
        <v>4</v>
      </c>
      <c r="D231" s="27" t="s">
        <v>14</v>
      </c>
      <c r="E231" s="27">
        <v>5</v>
      </c>
      <c r="F231" s="28">
        <v>145</v>
      </c>
    </row>
    <row r="232" spans="1:6" x14ac:dyDescent="0.2">
      <c r="A232" s="26">
        <v>43982</v>
      </c>
      <c r="B232" s="27" t="s">
        <v>22</v>
      </c>
      <c r="C232" s="27">
        <v>4</v>
      </c>
      <c r="D232" s="27" t="s">
        <v>35</v>
      </c>
      <c r="E232" s="27">
        <v>0</v>
      </c>
      <c r="F232" s="28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9D52-5A04-4166-A718-7D6080871272}">
  <dimension ref="A1:K27"/>
  <sheetViews>
    <sheetView workbookViewId="0">
      <selection activeCell="K24" sqref="K24"/>
    </sheetView>
  </sheetViews>
  <sheetFormatPr defaultColWidth="8.7421875" defaultRowHeight="15" x14ac:dyDescent="0.2"/>
  <cols>
    <col min="1" max="1" width="13.31640625" style="1" bestFit="1" customWidth="1"/>
    <col min="2" max="2" width="13.5859375" style="20" bestFit="1" customWidth="1"/>
    <col min="3" max="3" width="12.23828125" style="20" bestFit="1" customWidth="1"/>
    <col min="4" max="4" width="12.23828125" style="1" bestFit="1" customWidth="1"/>
    <col min="5" max="5" width="13.5859375" style="1" bestFit="1" customWidth="1"/>
    <col min="6" max="6" width="12.23828125" style="1" bestFit="1" customWidth="1"/>
    <col min="7" max="7" width="13.5859375" style="1" bestFit="1" customWidth="1"/>
    <col min="8" max="8" width="12.23828125" style="1" bestFit="1" customWidth="1"/>
    <col min="9" max="9" width="13.5859375" style="1" bestFit="1" customWidth="1"/>
    <col min="10" max="10" width="17.08203125" style="1" bestFit="1" customWidth="1"/>
    <col min="11" max="11" width="18.4296875" style="1" bestFit="1" customWidth="1"/>
    <col min="12" max="16384" width="8.7421875" style="1"/>
  </cols>
  <sheetData>
    <row r="1" spans="1:11" x14ac:dyDescent="0.2">
      <c r="A1"/>
      <c r="B1" s="19"/>
    </row>
    <row r="3" spans="1:11" x14ac:dyDescent="0.2">
      <c r="A3" s="34" t="s">
        <v>8</v>
      </c>
      <c r="B3" s="1" t="s">
        <v>51</v>
      </c>
      <c r="C3" s="20" t="s">
        <v>46</v>
      </c>
      <c r="D3"/>
      <c r="E3"/>
      <c r="F3"/>
      <c r="G3"/>
      <c r="H3"/>
      <c r="I3"/>
      <c r="J3"/>
      <c r="K3"/>
    </row>
    <row r="4" spans="1:11" x14ac:dyDescent="0.2">
      <c r="A4" s="1" t="s">
        <v>5</v>
      </c>
      <c r="B4" s="44">
        <v>87</v>
      </c>
      <c r="C4" s="20">
        <v>4352.99982</v>
      </c>
      <c r="D4"/>
      <c r="E4" s="1" t="s">
        <v>5</v>
      </c>
      <c r="F4" s="44">
        <v>87</v>
      </c>
      <c r="G4" s="20">
        <v>4352.99982</v>
      </c>
      <c r="H4"/>
      <c r="I4"/>
      <c r="J4"/>
      <c r="K4"/>
    </row>
    <row r="5" spans="1:11" x14ac:dyDescent="0.2">
      <c r="A5" s="1" t="s">
        <v>2</v>
      </c>
      <c r="B5" s="44">
        <v>66</v>
      </c>
      <c r="C5" s="20">
        <v>990</v>
      </c>
      <c r="D5"/>
      <c r="E5" s="1" t="s">
        <v>2</v>
      </c>
      <c r="F5" s="44">
        <v>66</v>
      </c>
      <c r="G5" s="20">
        <v>990</v>
      </c>
      <c r="H5"/>
      <c r="I5"/>
      <c r="J5"/>
      <c r="K5"/>
    </row>
    <row r="6" spans="1:11" x14ac:dyDescent="0.2">
      <c r="A6" s="1" t="s">
        <v>12</v>
      </c>
      <c r="B6" s="44">
        <v>17</v>
      </c>
      <c r="C6" s="20">
        <v>865.00000399999999</v>
      </c>
      <c r="D6"/>
      <c r="E6" s="1" t="s">
        <v>12</v>
      </c>
      <c r="F6" s="44">
        <v>17</v>
      </c>
      <c r="G6" s="20">
        <v>865.00000399999999</v>
      </c>
      <c r="H6"/>
      <c r="I6"/>
      <c r="J6"/>
      <c r="K6"/>
    </row>
    <row r="7" spans="1:11" x14ac:dyDescent="0.2">
      <c r="A7" s="1" t="s">
        <v>13</v>
      </c>
      <c r="B7" s="44">
        <v>49</v>
      </c>
      <c r="C7" s="20">
        <v>3675</v>
      </c>
      <c r="D7"/>
      <c r="E7" s="1" t="s">
        <v>13</v>
      </c>
      <c r="F7" s="44">
        <v>49</v>
      </c>
      <c r="G7" s="20">
        <v>3675</v>
      </c>
      <c r="H7"/>
      <c r="I7"/>
      <c r="J7"/>
      <c r="K7"/>
    </row>
    <row r="8" spans="1:11" x14ac:dyDescent="0.2">
      <c r="A8" s="1" t="s">
        <v>18</v>
      </c>
      <c r="B8" s="44">
        <v>1</v>
      </c>
      <c r="C8" s="20">
        <v>30</v>
      </c>
      <c r="D8"/>
      <c r="E8" s="1" t="s">
        <v>18</v>
      </c>
      <c r="F8" s="44">
        <v>1</v>
      </c>
      <c r="G8" s="20">
        <v>30</v>
      </c>
      <c r="H8"/>
      <c r="I8"/>
      <c r="J8"/>
      <c r="K8"/>
    </row>
    <row r="9" spans="1:11" x14ac:dyDescent="0.2">
      <c r="A9" s="1" t="s">
        <v>17</v>
      </c>
      <c r="B9" s="44">
        <v>2</v>
      </c>
      <c r="C9" s="20">
        <v>20</v>
      </c>
      <c r="D9"/>
      <c r="E9" s="1" t="s">
        <v>17</v>
      </c>
      <c r="F9" s="44">
        <v>2</v>
      </c>
      <c r="G9" s="20">
        <v>20</v>
      </c>
      <c r="H9"/>
      <c r="I9"/>
      <c r="J9"/>
      <c r="K9"/>
    </row>
    <row r="10" spans="1:11" x14ac:dyDescent="0.2">
      <c r="A10" s="1" t="s">
        <v>15</v>
      </c>
      <c r="B10" s="44">
        <v>1</v>
      </c>
      <c r="C10" s="20">
        <v>10.000028</v>
      </c>
      <c r="D10"/>
      <c r="E10" s="1" t="s">
        <v>15</v>
      </c>
      <c r="F10" s="44">
        <v>1</v>
      </c>
      <c r="G10" s="20">
        <v>10.000028</v>
      </c>
      <c r="H10"/>
      <c r="I10"/>
      <c r="J10"/>
      <c r="K10"/>
    </row>
    <row r="11" spans="1:11" x14ac:dyDescent="0.2">
      <c r="A11" s="1" t="s">
        <v>19</v>
      </c>
      <c r="B11" s="44">
        <v>2</v>
      </c>
      <c r="C11" s="20">
        <v>140</v>
      </c>
      <c r="D11"/>
      <c r="E11" s="1" t="s">
        <v>19</v>
      </c>
      <c r="F11" s="44">
        <v>2</v>
      </c>
      <c r="G11" s="20">
        <v>140</v>
      </c>
      <c r="H11"/>
      <c r="I11"/>
      <c r="J11"/>
      <c r="K11"/>
    </row>
    <row r="12" spans="1:11" x14ac:dyDescent="0.2">
      <c r="A12" s="1" t="s">
        <v>6</v>
      </c>
      <c r="B12" s="44">
        <v>382</v>
      </c>
      <c r="C12" s="20">
        <v>5955.0000639999998</v>
      </c>
      <c r="D12"/>
      <c r="E12" s="1" t="s">
        <v>6</v>
      </c>
      <c r="F12" s="44">
        <v>382</v>
      </c>
      <c r="G12" s="20">
        <v>5955.0000639999998</v>
      </c>
      <c r="H12"/>
      <c r="I12"/>
      <c r="J12"/>
      <c r="K12"/>
    </row>
    <row r="13" spans="1:11" x14ac:dyDescent="0.2">
      <c r="A13" s="1" t="s">
        <v>1</v>
      </c>
      <c r="B13" s="44">
        <v>388</v>
      </c>
      <c r="C13" s="20">
        <v>6384.0001919999995</v>
      </c>
      <c r="D13"/>
      <c r="E13" s="1" t="s">
        <v>1</v>
      </c>
      <c r="F13" s="44">
        <v>388</v>
      </c>
      <c r="G13" s="20">
        <v>6384.0001919999995</v>
      </c>
      <c r="H13"/>
      <c r="I13"/>
      <c r="J13"/>
      <c r="K13"/>
    </row>
    <row r="14" spans="1:11" x14ac:dyDescent="0.2">
      <c r="A14" s="1" t="s">
        <v>11</v>
      </c>
      <c r="B14" s="44">
        <v>344</v>
      </c>
      <c r="C14" s="20">
        <v>1705</v>
      </c>
      <c r="D14"/>
      <c r="E14" s="1" t="s">
        <v>11</v>
      </c>
      <c r="F14" s="44">
        <v>344</v>
      </c>
      <c r="G14" s="20">
        <v>1705</v>
      </c>
      <c r="H14"/>
      <c r="I14"/>
      <c r="J14"/>
      <c r="K14"/>
    </row>
    <row r="15" spans="1:11" x14ac:dyDescent="0.2">
      <c r="A15" s="1" t="s">
        <v>16</v>
      </c>
      <c r="B15" s="44">
        <v>174</v>
      </c>
      <c r="C15" s="20">
        <v>4814.9999250000001</v>
      </c>
      <c r="D15"/>
      <c r="E15" s="1" t="s">
        <v>16</v>
      </c>
      <c r="F15" s="44">
        <v>174</v>
      </c>
      <c r="G15" s="20">
        <v>4814.9999250000001</v>
      </c>
      <c r="H15"/>
      <c r="I15"/>
      <c r="J15"/>
      <c r="K15"/>
    </row>
    <row r="16" spans="1:11" x14ac:dyDescent="0.2">
      <c r="A16" s="1" t="s">
        <v>0</v>
      </c>
      <c r="B16" s="44">
        <v>126</v>
      </c>
      <c r="C16" s="20">
        <v>4269.9999699999998</v>
      </c>
      <c r="D16"/>
      <c r="E16" s="1" t="s">
        <v>0</v>
      </c>
      <c r="F16" s="44">
        <v>126</v>
      </c>
      <c r="G16" s="20">
        <v>4269.9999699999998</v>
      </c>
      <c r="H16"/>
      <c r="I16"/>
      <c r="J16"/>
      <c r="K16"/>
    </row>
    <row r="17" spans="1:11" x14ac:dyDescent="0.2">
      <c r="A17" s="1" t="s">
        <v>4</v>
      </c>
      <c r="B17" s="44">
        <v>180</v>
      </c>
      <c r="C17" s="20">
        <v>9835.0000099999997</v>
      </c>
      <c r="D17"/>
      <c r="E17" s="1" t="s">
        <v>4</v>
      </c>
      <c r="F17" s="44">
        <v>180</v>
      </c>
      <c r="G17" s="20">
        <v>9835.0000099999997</v>
      </c>
      <c r="H17"/>
      <c r="I17"/>
      <c r="J17"/>
      <c r="K17"/>
    </row>
    <row r="18" spans="1:11" x14ac:dyDescent="0.2">
      <c r="A18" s="1" t="s">
        <v>7</v>
      </c>
      <c r="B18" s="44">
        <v>57</v>
      </c>
      <c r="C18" s="20">
        <v>4173.0000639999998</v>
      </c>
      <c r="D18"/>
      <c r="E18" s="1" t="s">
        <v>7</v>
      </c>
      <c r="F18" s="44">
        <v>57</v>
      </c>
      <c r="G18" s="20">
        <v>4173.0000639999998</v>
      </c>
      <c r="H18"/>
      <c r="I18"/>
      <c r="J18"/>
      <c r="K18"/>
    </row>
    <row r="19" spans="1:11" x14ac:dyDescent="0.2">
      <c r="A19" s="1" t="s">
        <v>3</v>
      </c>
      <c r="B19" s="44">
        <v>23</v>
      </c>
      <c r="C19" s="20">
        <v>564</v>
      </c>
      <c r="D19"/>
      <c r="E19" s="1" t="s">
        <v>3</v>
      </c>
      <c r="F19" s="44">
        <v>23</v>
      </c>
      <c r="G19" s="20">
        <v>564</v>
      </c>
      <c r="H19"/>
      <c r="I19"/>
      <c r="J19"/>
      <c r="K19"/>
    </row>
    <row r="20" spans="1:11" x14ac:dyDescent="0.2">
      <c r="A20" s="1" t="s">
        <v>14</v>
      </c>
      <c r="B20" s="44">
        <v>113</v>
      </c>
      <c r="C20" s="20">
        <v>3495</v>
      </c>
      <c r="D20"/>
      <c r="E20" s="1" t="s">
        <v>14</v>
      </c>
      <c r="F20" s="44">
        <v>113</v>
      </c>
      <c r="G20" s="20">
        <v>3495</v>
      </c>
      <c r="H20"/>
      <c r="I20"/>
      <c r="J20"/>
      <c r="K20"/>
    </row>
    <row r="21" spans="1:11" x14ac:dyDescent="0.2">
      <c r="A21" s="1" t="s">
        <v>45</v>
      </c>
      <c r="B21" s="44">
        <v>2012</v>
      </c>
      <c r="C21" s="20">
        <v>51279.000076999997</v>
      </c>
      <c r="D21"/>
      <c r="E21"/>
      <c r="F21"/>
      <c r="G21"/>
      <c r="H21"/>
      <c r="I21"/>
      <c r="J21"/>
      <c r="K21"/>
    </row>
    <row r="22" spans="1:11" x14ac:dyDescent="0.2">
      <c r="A22"/>
      <c r="B22"/>
      <c r="C22" s="19"/>
      <c r="D22"/>
      <c r="E22"/>
      <c r="F22"/>
      <c r="G22"/>
      <c r="H22"/>
      <c r="I22"/>
      <c r="J22"/>
      <c r="K22"/>
    </row>
    <row r="23" spans="1:11" x14ac:dyDescent="0.2">
      <c r="A23"/>
      <c r="B23" s="19"/>
      <c r="C23" s="19"/>
      <c r="D23"/>
      <c r="E23"/>
      <c r="F23"/>
      <c r="G23"/>
      <c r="H23"/>
      <c r="I23"/>
      <c r="J23"/>
      <c r="K23"/>
    </row>
    <row r="24" spans="1:11" x14ac:dyDescent="0.2">
      <c r="A24"/>
      <c r="B24" s="19"/>
      <c r="C24" s="19"/>
      <c r="D24"/>
      <c r="E24"/>
      <c r="F24"/>
      <c r="G24"/>
      <c r="H24"/>
      <c r="I24"/>
      <c r="J24"/>
      <c r="K24"/>
    </row>
    <row r="25" spans="1:11" x14ac:dyDescent="0.2">
      <c r="A25"/>
      <c r="B25" s="19"/>
      <c r="C25" s="19"/>
      <c r="D25"/>
      <c r="E25"/>
      <c r="F25"/>
      <c r="G25"/>
      <c r="H25"/>
      <c r="I25"/>
      <c r="J25"/>
      <c r="K25"/>
    </row>
    <row r="26" spans="1:11" x14ac:dyDescent="0.2">
      <c r="A26"/>
      <c r="B26" s="19"/>
      <c r="C26" s="19"/>
      <c r="D26"/>
      <c r="E26"/>
      <c r="F26"/>
      <c r="G26"/>
      <c r="H26"/>
      <c r="I26"/>
      <c r="J26"/>
      <c r="K26"/>
    </row>
    <row r="27" spans="1:11" x14ac:dyDescent="0.2">
      <c r="A27"/>
      <c r="B27" s="19"/>
      <c r="C27" s="19"/>
      <c r="D27"/>
      <c r="E27"/>
      <c r="F27"/>
      <c r="G27"/>
      <c r="H27"/>
      <c r="I27"/>
      <c r="J27"/>
      <c r="K27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1333-68C1-4BF1-B894-9ED69DEACEC7}">
  <dimension ref="A1:BM21"/>
  <sheetViews>
    <sheetView topLeftCell="AZ1" workbookViewId="0">
      <selection activeCell="BC26" sqref="BC26"/>
    </sheetView>
  </sheetViews>
  <sheetFormatPr defaultColWidth="13.44921875" defaultRowHeight="15" x14ac:dyDescent="0.2"/>
  <cols>
    <col min="1" max="1" width="13.31640625" bestFit="1" customWidth="1"/>
    <col min="2" max="2" width="12.23828125" bestFit="1" customWidth="1"/>
    <col min="4" max="4" width="12.23828125" bestFit="1" customWidth="1"/>
    <col min="5" max="5" width="13.44921875" style="21"/>
    <col min="6" max="6" width="12.23828125" bestFit="1" customWidth="1"/>
    <col min="7" max="7" width="13.44921875" style="21"/>
    <col min="8" max="8" width="12.23828125" bestFit="1" customWidth="1"/>
    <col min="9" max="9" width="13.44921875" style="21" bestFit="1" customWidth="1"/>
    <col min="10" max="10" width="9.68359375" customWidth="1"/>
    <col min="11" max="11" width="10.89453125" customWidth="1"/>
    <col min="12" max="12" width="9.953125" customWidth="1"/>
    <col min="13" max="13" width="11.56640625" style="19" customWidth="1"/>
    <col min="14" max="14" width="9.953125" customWidth="1"/>
    <col min="15" max="15" width="11.56640625" customWidth="1"/>
    <col min="16" max="16" width="9.953125" customWidth="1"/>
    <col min="17" max="17" width="11.56640625" style="21" customWidth="1"/>
    <col min="18" max="18" width="9.953125" customWidth="1"/>
    <col min="19" max="19" width="11.56640625" style="15" customWidth="1"/>
    <col min="20" max="20" width="9.953125" customWidth="1"/>
    <col min="21" max="21" width="11.56640625" style="15" customWidth="1"/>
    <col min="22" max="22" width="9.953125" customWidth="1"/>
    <col min="23" max="23" width="11.56640625" style="21" customWidth="1"/>
    <col min="24" max="24" width="9.953125" customWidth="1"/>
    <col min="25" max="25" width="11.56640625" style="15" customWidth="1"/>
    <col min="26" max="26" width="9.953125" customWidth="1"/>
    <col min="27" max="27" width="11.56640625" style="15" customWidth="1"/>
    <col min="28" max="28" width="9.953125" customWidth="1"/>
    <col min="29" max="29" width="11.56640625" style="15" customWidth="1"/>
    <col min="30" max="30" width="9.953125" customWidth="1"/>
    <col min="31" max="31" width="11.56640625" style="21" customWidth="1"/>
    <col min="32" max="32" width="9.953125" customWidth="1"/>
    <col min="33" max="33" width="11.56640625" style="15" customWidth="1"/>
    <col min="34" max="34" width="9.953125" customWidth="1"/>
    <col min="35" max="35" width="11.56640625" style="15" customWidth="1"/>
    <col min="36" max="36" width="9.953125" customWidth="1"/>
    <col min="37" max="37" width="11.56640625" style="15" customWidth="1"/>
    <col min="38" max="38" width="9.953125" customWidth="1"/>
    <col min="39" max="39" width="11.56640625" style="15" customWidth="1"/>
    <col min="40" max="40" width="9.953125" customWidth="1"/>
    <col min="41" max="41" width="11.56640625" style="15" customWidth="1"/>
    <col min="42" max="42" width="9.953125" customWidth="1"/>
    <col min="43" max="43" width="11.56640625" style="15" customWidth="1"/>
    <col min="44" max="44" width="9.953125" customWidth="1"/>
    <col min="45" max="45" width="11.56640625" style="15" customWidth="1"/>
    <col min="46" max="46" width="9.953125" customWidth="1"/>
    <col min="47" max="47" width="11.56640625" style="15" customWidth="1"/>
    <col min="48" max="48" width="9.953125" customWidth="1"/>
    <col min="49" max="49" width="11.56640625" style="15" customWidth="1"/>
    <col min="50" max="50" width="9.953125" customWidth="1"/>
    <col min="51" max="51" width="11.56640625" style="15" customWidth="1"/>
    <col min="52" max="52" width="9.953125" customWidth="1"/>
    <col min="53" max="53" width="11.56640625" style="15" customWidth="1"/>
    <col min="54" max="54" width="9.953125" customWidth="1"/>
    <col min="55" max="55" width="11.56640625" style="15" customWidth="1"/>
    <col min="56" max="56" width="9.953125" customWidth="1"/>
    <col min="57" max="57" width="11.56640625" style="15" customWidth="1"/>
    <col min="58" max="58" width="9.953125" customWidth="1"/>
    <col min="59" max="59" width="11.56640625" style="15" customWidth="1"/>
    <col min="60" max="60" width="9.953125" customWidth="1"/>
    <col min="61" max="61" width="11.56640625" style="15" customWidth="1"/>
    <col min="62" max="62" width="9.953125" customWidth="1"/>
    <col min="63" max="63" width="11.56640625" style="15" customWidth="1"/>
    <col min="64" max="64" width="9.953125" customWidth="1"/>
    <col min="65" max="65" width="11.56640625" style="15" customWidth="1"/>
  </cols>
  <sheetData>
    <row r="1" spans="1:65" x14ac:dyDescent="0.2">
      <c r="A1" s="65" t="s">
        <v>8</v>
      </c>
      <c r="B1" s="67" t="s">
        <v>20</v>
      </c>
      <c r="C1" s="68"/>
      <c r="D1" s="67" t="s">
        <v>21</v>
      </c>
      <c r="E1" s="68"/>
      <c r="F1" s="67" t="s">
        <v>22</v>
      </c>
      <c r="G1" s="68"/>
      <c r="H1" s="67" t="s">
        <v>23</v>
      </c>
      <c r="I1" s="68"/>
      <c r="J1" s="67" t="s">
        <v>24</v>
      </c>
      <c r="K1" s="68"/>
      <c r="L1" s="67" t="s">
        <v>25</v>
      </c>
      <c r="M1" s="68"/>
      <c r="N1" s="67" t="s">
        <v>26</v>
      </c>
      <c r="O1" s="68"/>
      <c r="P1" s="67" t="s">
        <v>20</v>
      </c>
      <c r="Q1" s="68"/>
      <c r="R1" s="67" t="s">
        <v>21</v>
      </c>
      <c r="S1" s="68"/>
      <c r="T1" s="67" t="s">
        <v>22</v>
      </c>
      <c r="U1" s="68"/>
      <c r="V1" s="67" t="s">
        <v>23</v>
      </c>
      <c r="W1" s="68"/>
      <c r="X1" s="67" t="s">
        <v>24</v>
      </c>
      <c r="Y1" s="68"/>
      <c r="Z1" s="67" t="s">
        <v>25</v>
      </c>
      <c r="AA1" s="68"/>
      <c r="AB1" s="67" t="s">
        <v>26</v>
      </c>
      <c r="AC1" s="68"/>
      <c r="AD1" s="67" t="s">
        <v>20</v>
      </c>
      <c r="AE1" s="68"/>
      <c r="AF1" s="67" t="s">
        <v>21</v>
      </c>
      <c r="AG1" s="68"/>
      <c r="AH1" s="67" t="s">
        <v>22</v>
      </c>
      <c r="AI1" s="68"/>
      <c r="AJ1" s="67" t="s">
        <v>23</v>
      </c>
      <c r="AK1" s="68"/>
      <c r="AL1" s="67" t="s">
        <v>24</v>
      </c>
      <c r="AM1" s="68"/>
      <c r="AN1" s="67" t="s">
        <v>25</v>
      </c>
      <c r="AO1" s="68"/>
      <c r="AP1" s="67" t="s">
        <v>26</v>
      </c>
      <c r="AQ1" s="68"/>
      <c r="AR1" s="67" t="s">
        <v>20</v>
      </c>
      <c r="AS1" s="68"/>
      <c r="AT1" s="67" t="s">
        <v>21</v>
      </c>
      <c r="AU1" s="68"/>
      <c r="AV1" s="67" t="s">
        <v>22</v>
      </c>
      <c r="AW1" s="68"/>
      <c r="AX1" s="67" t="s">
        <v>23</v>
      </c>
      <c r="AY1" s="68"/>
      <c r="AZ1" s="67" t="s">
        <v>24</v>
      </c>
      <c r="BA1" s="68"/>
      <c r="BB1" s="67" t="s">
        <v>25</v>
      </c>
      <c r="BC1" s="68"/>
      <c r="BD1" s="67" t="s">
        <v>26</v>
      </c>
      <c r="BE1" s="68"/>
      <c r="BF1" s="67" t="s">
        <v>20</v>
      </c>
      <c r="BG1" s="68"/>
      <c r="BH1" s="67" t="s">
        <v>21</v>
      </c>
      <c r="BI1" s="68"/>
      <c r="BJ1" s="67" t="s">
        <v>22</v>
      </c>
      <c r="BK1" s="68"/>
      <c r="BL1" s="67" t="s">
        <v>27</v>
      </c>
      <c r="BM1" s="72"/>
    </row>
    <row r="2" spans="1:65" x14ac:dyDescent="0.2">
      <c r="A2" s="65"/>
      <c r="B2" s="70">
        <f>DATE(2021,10,1)</f>
        <v>44470</v>
      </c>
      <c r="C2" s="71"/>
      <c r="D2" s="70">
        <f>B2+1</f>
        <v>44471</v>
      </c>
      <c r="E2" s="71"/>
      <c r="F2" s="70">
        <f>D2+1</f>
        <v>44472</v>
      </c>
      <c r="G2" s="71"/>
      <c r="H2" s="70">
        <f>F2+1</f>
        <v>44473</v>
      </c>
      <c r="I2" s="71"/>
      <c r="J2" s="70">
        <f t="shared" ref="J2" si="0">H2+1</f>
        <v>44474</v>
      </c>
      <c r="K2" s="71"/>
      <c r="L2" s="70">
        <f t="shared" ref="L2" si="1">J2+1</f>
        <v>44475</v>
      </c>
      <c r="M2" s="71"/>
      <c r="N2" s="70">
        <f t="shared" ref="N2" si="2">L2+1</f>
        <v>44476</v>
      </c>
      <c r="O2" s="71"/>
      <c r="P2" s="70">
        <f t="shared" ref="P2" si="3">N2+1</f>
        <v>44477</v>
      </c>
      <c r="Q2" s="71"/>
      <c r="R2" s="70">
        <f t="shared" ref="R2" si="4">P2+1</f>
        <v>44478</v>
      </c>
      <c r="S2" s="71"/>
      <c r="T2" s="70">
        <f t="shared" ref="T2" si="5">R2+1</f>
        <v>44479</v>
      </c>
      <c r="U2" s="71"/>
      <c r="V2" s="70">
        <f t="shared" ref="V2" si="6">T2+1</f>
        <v>44480</v>
      </c>
      <c r="W2" s="71"/>
      <c r="X2" s="70">
        <f t="shared" ref="X2" si="7">V2+1</f>
        <v>44481</v>
      </c>
      <c r="Y2" s="71"/>
      <c r="Z2" s="70">
        <f t="shared" ref="Z2" si="8">X2+1</f>
        <v>44482</v>
      </c>
      <c r="AA2" s="71"/>
      <c r="AB2" s="70">
        <f t="shared" ref="AB2" si="9">Z2+1</f>
        <v>44483</v>
      </c>
      <c r="AC2" s="71"/>
      <c r="AD2" s="73">
        <f t="shared" ref="AD2" si="10">AB2+1</f>
        <v>44484</v>
      </c>
      <c r="AE2" s="71"/>
      <c r="AF2" s="70">
        <f t="shared" ref="AF2" si="11">AD2+1</f>
        <v>44485</v>
      </c>
      <c r="AG2" s="71"/>
      <c r="AH2" s="70">
        <f t="shared" ref="AH2" si="12">AF2+1</f>
        <v>44486</v>
      </c>
      <c r="AI2" s="71"/>
      <c r="AJ2" s="70">
        <f t="shared" ref="AJ2" si="13">AH2+1</f>
        <v>44487</v>
      </c>
      <c r="AK2" s="71"/>
      <c r="AL2" s="70">
        <f t="shared" ref="AL2" si="14">AJ2+1</f>
        <v>44488</v>
      </c>
      <c r="AM2" s="71"/>
      <c r="AN2" s="70">
        <f t="shared" ref="AN2" si="15">AL2+1</f>
        <v>44489</v>
      </c>
      <c r="AO2" s="71"/>
      <c r="AP2" s="70">
        <f t="shared" ref="AP2" si="16">AN2+1</f>
        <v>44490</v>
      </c>
      <c r="AQ2" s="71"/>
      <c r="AR2" s="70">
        <f t="shared" ref="AR2" si="17">AP2+1</f>
        <v>44491</v>
      </c>
      <c r="AS2" s="71"/>
      <c r="AT2" s="70">
        <f t="shared" ref="AT2" si="18">AR2+1</f>
        <v>44492</v>
      </c>
      <c r="AU2" s="71"/>
      <c r="AV2" s="70">
        <f t="shared" ref="AV2" si="19">AT2+1</f>
        <v>44493</v>
      </c>
      <c r="AW2" s="71"/>
      <c r="AX2" s="70">
        <f t="shared" ref="AX2" si="20">AV2+1</f>
        <v>44494</v>
      </c>
      <c r="AY2" s="71"/>
      <c r="AZ2" s="70">
        <f t="shared" ref="AZ2" si="21">AX2+1</f>
        <v>44495</v>
      </c>
      <c r="BA2" s="71"/>
      <c r="BB2" s="70">
        <f t="shared" ref="BB2" si="22">AZ2+1</f>
        <v>44496</v>
      </c>
      <c r="BC2" s="71"/>
      <c r="BD2" s="70">
        <f t="shared" ref="BD2" si="23">BB2+1</f>
        <v>44497</v>
      </c>
      <c r="BE2" s="71"/>
      <c r="BF2" s="70">
        <f t="shared" ref="BF2" si="24">BD2+1</f>
        <v>44498</v>
      </c>
      <c r="BG2" s="71"/>
      <c r="BH2" s="70">
        <f t="shared" ref="BH2" si="25">BF2+1</f>
        <v>44499</v>
      </c>
      <c r="BI2" s="71"/>
      <c r="BJ2" s="70">
        <f t="shared" ref="BJ2" si="26">BH2+1</f>
        <v>44500</v>
      </c>
      <c r="BK2" s="71"/>
      <c r="BL2" s="67"/>
      <c r="BM2" s="72"/>
    </row>
    <row r="3" spans="1:65" x14ac:dyDescent="0.2">
      <c r="A3" s="66"/>
      <c r="B3" s="6" t="s">
        <v>9</v>
      </c>
      <c r="C3" s="16" t="s">
        <v>10</v>
      </c>
      <c r="D3" s="6" t="s">
        <v>9</v>
      </c>
      <c r="E3" s="17" t="s">
        <v>10</v>
      </c>
      <c r="F3" s="6" t="s">
        <v>9</v>
      </c>
      <c r="G3" s="16" t="s">
        <v>10</v>
      </c>
      <c r="H3" s="6" t="s">
        <v>9</v>
      </c>
      <c r="I3" s="16" t="s">
        <v>10</v>
      </c>
      <c r="J3" s="6" t="s">
        <v>9</v>
      </c>
      <c r="K3" s="16" t="s">
        <v>10</v>
      </c>
      <c r="L3" s="6" t="s">
        <v>9</v>
      </c>
      <c r="M3" s="17" t="s">
        <v>10</v>
      </c>
      <c r="N3" s="6" t="s">
        <v>9</v>
      </c>
      <c r="O3" s="16" t="s">
        <v>10</v>
      </c>
      <c r="P3" s="6" t="s">
        <v>9</v>
      </c>
      <c r="Q3" s="16" t="s">
        <v>10</v>
      </c>
      <c r="R3" s="6" t="s">
        <v>9</v>
      </c>
      <c r="S3" s="16" t="s">
        <v>10</v>
      </c>
      <c r="T3" s="6" t="s">
        <v>9</v>
      </c>
      <c r="U3" s="16" t="s">
        <v>10</v>
      </c>
      <c r="V3" s="6" t="s">
        <v>9</v>
      </c>
      <c r="W3" s="16" t="s">
        <v>10</v>
      </c>
      <c r="X3" s="6" t="s">
        <v>9</v>
      </c>
      <c r="Y3" s="16" t="s">
        <v>10</v>
      </c>
      <c r="Z3" s="6" t="s">
        <v>9</v>
      </c>
      <c r="AA3" s="16" t="s">
        <v>10</v>
      </c>
      <c r="AB3" s="6" t="s">
        <v>9</v>
      </c>
      <c r="AC3" s="16" t="s">
        <v>10</v>
      </c>
      <c r="AD3" s="6" t="s">
        <v>9</v>
      </c>
      <c r="AE3" s="17" t="s">
        <v>10</v>
      </c>
      <c r="AF3" s="6" t="s">
        <v>9</v>
      </c>
      <c r="AG3" s="16" t="s">
        <v>10</v>
      </c>
      <c r="AH3" s="6" t="s">
        <v>9</v>
      </c>
      <c r="AI3" s="16" t="s">
        <v>10</v>
      </c>
      <c r="AJ3" s="6" t="s">
        <v>9</v>
      </c>
      <c r="AK3" s="16" t="s">
        <v>10</v>
      </c>
      <c r="AL3" s="6" t="s">
        <v>9</v>
      </c>
      <c r="AM3" s="16" t="s">
        <v>10</v>
      </c>
      <c r="AN3" s="6" t="s">
        <v>9</v>
      </c>
      <c r="AO3" s="16" t="s">
        <v>10</v>
      </c>
      <c r="AP3" s="6" t="s">
        <v>9</v>
      </c>
      <c r="AQ3" s="16" t="s">
        <v>10</v>
      </c>
      <c r="AR3" s="6" t="s">
        <v>9</v>
      </c>
      <c r="AS3" s="16" t="s">
        <v>10</v>
      </c>
      <c r="AT3" s="6" t="s">
        <v>9</v>
      </c>
      <c r="AU3" s="16" t="s">
        <v>10</v>
      </c>
      <c r="AV3" s="6" t="s">
        <v>9</v>
      </c>
      <c r="AW3" s="16" t="s">
        <v>10</v>
      </c>
      <c r="AX3" s="6" t="s">
        <v>9</v>
      </c>
      <c r="AY3" s="16" t="s">
        <v>10</v>
      </c>
      <c r="AZ3" s="6" t="s">
        <v>9</v>
      </c>
      <c r="BA3" s="16" t="s">
        <v>10</v>
      </c>
      <c r="BB3" s="6" t="s">
        <v>9</v>
      </c>
      <c r="BC3" s="16" t="s">
        <v>10</v>
      </c>
      <c r="BD3" s="6" t="s">
        <v>9</v>
      </c>
      <c r="BE3" s="16" t="s">
        <v>10</v>
      </c>
      <c r="BF3" s="6" t="s">
        <v>9</v>
      </c>
      <c r="BG3" s="16" t="s">
        <v>10</v>
      </c>
      <c r="BH3" s="6" t="s">
        <v>9</v>
      </c>
      <c r="BI3" s="16" t="s">
        <v>10</v>
      </c>
      <c r="BJ3" s="6" t="s">
        <v>9</v>
      </c>
      <c r="BK3" s="16" t="s">
        <v>10</v>
      </c>
      <c r="BL3" s="18" t="s">
        <v>9</v>
      </c>
      <c r="BM3" s="16" t="s">
        <v>10</v>
      </c>
    </row>
    <row r="4" spans="1:65" x14ac:dyDescent="0.2">
      <c r="A4" s="13" t="s">
        <v>5</v>
      </c>
      <c r="B4" s="1" t="str">
        <f>IFERROR(VLOOKUP($A4,[32]!Table1[#All],2,0),"-")</f>
        <v>-</v>
      </c>
      <c r="C4" s="14" t="str">
        <f>IFERROR(VLOOKUP($A4,[32]!Table1[#All],3,0),"-")</f>
        <v>-</v>
      </c>
      <c r="D4" s="1" t="str">
        <f>IFERROR(VLOOKUP($A4,[33]!Table1[#All],2,0),"-")</f>
        <v>-</v>
      </c>
      <c r="E4" s="3" t="str">
        <f>IFERROR(VLOOKUP($A4,[33]!Table1[#All],3,0),"-")</f>
        <v>-</v>
      </c>
      <c r="F4" s="1" t="str">
        <f>IFERROR(VLOOKUP($A4,[34]!Table2[#All],2,0),"-")</f>
        <v>-</v>
      </c>
      <c r="G4" s="14" t="str">
        <f>IFERROR(VLOOKUP($A4,[34]!Table2[#All],3,0),"-")</f>
        <v>-</v>
      </c>
      <c r="H4" s="1" t="str">
        <f>IFERROR(VLOOKUP($A4,[35]!Table1[#All],2,0),"-")</f>
        <v>-</v>
      </c>
      <c r="I4" s="14" t="str">
        <f>IFERROR(VLOOKUP($A4,[35]!Table1[#All],3,0),"-")</f>
        <v>-</v>
      </c>
      <c r="J4" s="1" t="str">
        <f>IFERROR(VLOOKUP($A4,[36]!Table1[#All],2,0),"-")</f>
        <v>-</v>
      </c>
      <c r="K4" s="14" t="str">
        <f>IFERROR(VLOOKUP($A4,[36]!Table1[#All],3,0),"-")</f>
        <v>-</v>
      </c>
      <c r="L4" s="1" t="str">
        <f>IFERROR(VLOOKUP($A4,[37]!Table1[#All],2,0),"-")</f>
        <v>-</v>
      </c>
      <c r="M4" s="20" t="str">
        <f>IFERROR(VLOOKUP($A4,[37]!Table1[#All],3,0),"-")</f>
        <v>-</v>
      </c>
      <c r="N4" s="1" t="str">
        <f>IFERROR(VLOOKUP($A4,[38]!Table1[#All],2,0),"-")</f>
        <v>-</v>
      </c>
      <c r="O4" s="14" t="str">
        <f>IFERROR(VLOOKUP($A4,[38]!Table1[#All],3,0),"-")</f>
        <v>-</v>
      </c>
      <c r="P4" s="1" t="str">
        <f>IFERROR(VLOOKUP($A4,[39]!Table1[#All],2,0),"-")</f>
        <v>-</v>
      </c>
      <c r="Q4" s="14" t="str">
        <f>IFERROR(VLOOKUP($A4,[39]!Table1[#All],3,0),"-")</f>
        <v>-</v>
      </c>
      <c r="R4" s="1" t="str">
        <f>IFERROR(VLOOKUP($A4,[40]!Table1[#All],2,0),"-")</f>
        <v>-</v>
      </c>
      <c r="S4" s="14" t="str">
        <f>IFERROR(VLOOKUP($A4,[40]!Table1[#All],3,0),"-")</f>
        <v>-</v>
      </c>
      <c r="T4" s="1" t="str">
        <f>IFERROR(VLOOKUP($A4,[41]!Table1[#All],2,0),"-")</f>
        <v>-</v>
      </c>
      <c r="U4" s="14" t="str">
        <f>IFERROR(VLOOKUP($A4,[41]!Table1[#All],3,0),"-")</f>
        <v>-</v>
      </c>
      <c r="V4" s="1" t="str">
        <f>IFERROR(VLOOKUP($A4,[42]!Table1[#All],2,0),"-")</f>
        <v>-</v>
      </c>
      <c r="W4" s="14" t="str">
        <f>IFERROR(VLOOKUP($A4,[42]!Table1[#All],3,0),"-")</f>
        <v>-</v>
      </c>
      <c r="X4" s="1" t="str">
        <f>IFERROR(VLOOKUP($A4,[43]!Table1[#All],2,0),"-")</f>
        <v>-</v>
      </c>
      <c r="Y4" s="14" t="str">
        <f>IFERROR(VLOOKUP($A4,[43]!Table1[#All],3,0),"-")</f>
        <v>-</v>
      </c>
      <c r="Z4" s="1" t="str">
        <f>IFERROR(VLOOKUP($A4,[44]!Table1[#All],2,0),"-")</f>
        <v>-</v>
      </c>
      <c r="AA4" s="14" t="str">
        <f>IFERROR(VLOOKUP($A4,[44]!Table1[#All],3,0),"-")</f>
        <v>-</v>
      </c>
      <c r="AB4" s="1" t="str">
        <f>IFERROR(VLOOKUP($A4,[45]!Table1[#All],2,0),"-")</f>
        <v>-</v>
      </c>
      <c r="AC4" s="14" t="str">
        <f>IFERROR(VLOOKUP($A4,[45]!Table1[#All],3,0),"-")</f>
        <v>-</v>
      </c>
      <c r="AD4" s="1" t="str">
        <f>IFERROR(VLOOKUP($A4,[46]!Table1[#All],2,0),"-")</f>
        <v>-</v>
      </c>
      <c r="AE4" s="20" t="str">
        <f>IFERROR(VLOOKUP($A4,[46]!Table1[#All],3,0),"-")</f>
        <v>-</v>
      </c>
      <c r="AF4" s="1" t="str">
        <f>IFERROR(VLOOKUP($A4,[47]!Table1[#All],2,0),"-")</f>
        <v>-</v>
      </c>
      <c r="AG4" s="14" t="str">
        <f>IFERROR(VLOOKUP($A4,[47]!Table1[#All],3,0),"-")</f>
        <v>-</v>
      </c>
      <c r="AH4" s="1" t="str">
        <f>IFERROR(VLOOKUP($A4,[48]!Table1[#All],2,0),"-")</f>
        <v>-</v>
      </c>
      <c r="AI4" s="14" t="str">
        <f>IFERROR(VLOOKUP($A4,[48]!Table1[#All],3,0),"-")</f>
        <v>-</v>
      </c>
      <c r="AJ4" s="1" t="str">
        <f>IFERROR(VLOOKUP($A4,[49]!Table1[#All],2,0),"-")</f>
        <v>-</v>
      </c>
      <c r="AK4" s="14" t="str">
        <f>IFERROR(VLOOKUP($A4,[49]!Table1[#All],3,0),"-")</f>
        <v>-</v>
      </c>
      <c r="AL4" s="1" t="str">
        <f>IFERROR(VLOOKUP($A4,[50]!Table1[#All],2,0),"-")</f>
        <v>-</v>
      </c>
      <c r="AM4" s="14" t="str">
        <f>IFERROR(VLOOKUP($A4,[50]!Table1[#All],3,0),"-")</f>
        <v>-</v>
      </c>
      <c r="AN4" s="1" t="str">
        <f>IFERROR(VLOOKUP($A4,[51]!Table1[#All],2,0),"-")</f>
        <v>-</v>
      </c>
      <c r="AO4" s="14" t="str">
        <f>IFERROR(VLOOKUP($A4,[51]!Table1[#All],3,0),"-")</f>
        <v>-</v>
      </c>
      <c r="AP4" s="1" t="str">
        <f>IFERROR(VLOOKUP($A4,[52]!Table1[#All],2,0),"-")</f>
        <v>-</v>
      </c>
      <c r="AQ4" s="14" t="str">
        <f>IFERROR(VLOOKUP($A4,[52]!Table1[#All],3,0),"-")</f>
        <v>-</v>
      </c>
      <c r="AR4" s="1" t="str">
        <f>IFERROR(VLOOKUP($A4,[53]!Table1[#All],2,0),"-")</f>
        <v>-</v>
      </c>
      <c r="AS4" s="14" t="str">
        <f>IFERROR(VLOOKUP($A4,[53]!Table1[#All],3,0),"-")</f>
        <v>-</v>
      </c>
      <c r="AT4" s="1" t="str">
        <f>IFERROR(VLOOKUP($A4,[54]!Table1[#All],2,0),"-")</f>
        <v>-</v>
      </c>
      <c r="AU4" s="14" t="str">
        <f>IFERROR(VLOOKUP($A4,[54]!Table1[#All],3,0),"-")</f>
        <v>-</v>
      </c>
      <c r="AV4" s="1" t="str">
        <f>IFERROR(VLOOKUP($A4,[55]!Table1[#All],2,0),"-")</f>
        <v>-</v>
      </c>
      <c r="AW4" s="14" t="str">
        <f>IFERROR(VLOOKUP($A4,[55]!Table1[#All],3,0),"-")</f>
        <v>-</v>
      </c>
      <c r="AX4" s="1" t="str">
        <f>IFERROR(VLOOKUP($A4,[56]!Table1[#All],2,0),"-")</f>
        <v>-</v>
      </c>
      <c r="AY4" s="14" t="str">
        <f>IFERROR(VLOOKUP($A4,[56]!Table1[#All],3,0),"-")</f>
        <v>-</v>
      </c>
      <c r="AZ4" s="1" t="str">
        <f>IFERROR(VLOOKUP($A4,[57]!Table1[#All],2,0),"-")</f>
        <v>-</v>
      </c>
      <c r="BA4" s="14" t="str">
        <f>IFERROR(VLOOKUP($A4,[57]!Table1[#All],3,0),"-")</f>
        <v>-</v>
      </c>
      <c r="BB4" s="1" t="str">
        <f>IFERROR(VLOOKUP($A4,[58]!Table1[#All],2,0),"-")</f>
        <v>-</v>
      </c>
      <c r="BC4" s="14" t="str">
        <f>IFERROR(VLOOKUP($A4,[58]!Table1[#All],3,0),"-")</f>
        <v>-</v>
      </c>
      <c r="BD4" s="1" t="str">
        <f>IFERROR(VLOOKUP($A4,[59]!Table1[#All],2,0),"-")</f>
        <v>-</v>
      </c>
      <c r="BE4" s="14" t="str">
        <f>IFERROR(VLOOKUP($A4,[59]!Table1[#All],3,0),"-")</f>
        <v>-</v>
      </c>
      <c r="BF4" s="1" t="str">
        <f>IFERROR(VLOOKUP($A4,[60]!Table1[#All],2,0),"-")</f>
        <v>-</v>
      </c>
      <c r="BG4" s="14" t="str">
        <f>IFERROR(VLOOKUP($A4,[60]!Table1[#All],3,0),"-")</f>
        <v>-</v>
      </c>
      <c r="BH4" s="1" t="str">
        <f>IFERROR(VLOOKUP($A4,[61]!Table1[#All],2,0),"-")</f>
        <v>-</v>
      </c>
      <c r="BI4" s="14" t="str">
        <f>IFERROR(VLOOKUP($A4,[61]!Table1[#All],3,0),"-")</f>
        <v>-</v>
      </c>
      <c r="BJ4" s="1" t="str">
        <f>IFERROR(VLOOKUP($A4,[62]!Table1[#All],2,0),"-")</f>
        <v>-</v>
      </c>
      <c r="BK4" s="14" t="str">
        <f>IFERROR(VLOOKUP($A4,[62]!Table1[#All],3,0),"-")</f>
        <v>-</v>
      </c>
      <c r="BL4" s="11">
        <f t="shared" ref="BL4:BL20" si="27">SUM(B4,D4,F4,H4,J4,L4,N4,P4,R4,T4,V4,X4,Z4,AB4,AD4,AF4,AH4,AJ4,AL4,AN4,AP4,AR4,AT4,AV4,AX4,AZ4,BB4,BD4,BF4,BH4,BJ4)</f>
        <v>0</v>
      </c>
      <c r="BM4" s="22">
        <f t="shared" ref="BM4:BM20" si="28">SUM(C4,E4,G4,I4,K4,M4,O4,Q4,S4,U4,W4,Y4,AA4,AC4,AE4,AG4,AI4,AK4,AM4,AO4,AQ4,AS4,AU4,AW4,AY4,BA4,BC4,BE4,BG4,BI4,BK4)</f>
        <v>0</v>
      </c>
    </row>
    <row r="5" spans="1:65" x14ac:dyDescent="0.2">
      <c r="A5" s="13" t="s">
        <v>2</v>
      </c>
      <c r="B5" s="1" t="str">
        <f>IFERROR(VLOOKUP($A5,[32]!Table1[#All],2,0),"-")</f>
        <v>-</v>
      </c>
      <c r="C5" s="14" t="str">
        <f>IFERROR(VLOOKUP($A5,[32]!Table1[#All],3,0),"-")</f>
        <v>-</v>
      </c>
      <c r="D5" s="1" t="str">
        <f>IFERROR(VLOOKUP($A5,[33]!Table1[#All],2,0),"-")</f>
        <v>-</v>
      </c>
      <c r="E5" s="3" t="str">
        <f>IFERROR(VLOOKUP($A5,[33]!Table1[#All],3,0),"-")</f>
        <v>-</v>
      </c>
      <c r="F5" s="1" t="str">
        <f>IFERROR(VLOOKUP($A5,[34]!Table2[#All],2,0),"-")</f>
        <v>-</v>
      </c>
      <c r="G5" s="14" t="str">
        <f>IFERROR(VLOOKUP($A5,[34]!Table2[#All],3,0),"-")</f>
        <v>-</v>
      </c>
      <c r="H5" s="1" t="str">
        <f>IFERROR(VLOOKUP($A5,[35]!Table1[#All],2,0),"-")</f>
        <v>-</v>
      </c>
      <c r="I5" s="14" t="str">
        <f>IFERROR(VLOOKUP($A5,[35]!Table1[#All],3,0),"-")</f>
        <v>-</v>
      </c>
      <c r="J5" s="1" t="str">
        <f>IFERROR(VLOOKUP($A5,[36]!Table1[#All],2,0),"-")</f>
        <v>-</v>
      </c>
      <c r="K5" s="14" t="str">
        <f>IFERROR(VLOOKUP($A5,[36]!Table1[#All],3,0),"-")</f>
        <v>-</v>
      </c>
      <c r="L5" s="1" t="str">
        <f>IFERROR(VLOOKUP($A5,[37]!Table1[#All],2,0),"-")</f>
        <v>-</v>
      </c>
      <c r="M5" s="20" t="str">
        <f>IFERROR(VLOOKUP($A5,[37]!Table1[#All],3,0),"-")</f>
        <v>-</v>
      </c>
      <c r="N5" s="1" t="str">
        <f>IFERROR(VLOOKUP($A5,[38]!Table1[#All],2,0),"-")</f>
        <v>-</v>
      </c>
      <c r="O5" s="14" t="str">
        <f>IFERROR(VLOOKUP($A5,[38]!Table1[#All],3,0),"-")</f>
        <v>-</v>
      </c>
      <c r="P5" s="1" t="str">
        <f>IFERROR(VLOOKUP($A5,[39]!Table1[#All],2,0),"-")</f>
        <v>-</v>
      </c>
      <c r="Q5" s="14" t="str">
        <f>IFERROR(VLOOKUP($A5,[39]!Table1[#All],3,0),"-")</f>
        <v>-</v>
      </c>
      <c r="R5" s="1" t="str">
        <f>IFERROR(VLOOKUP($A5,[40]!Table1[#All],2,0),"-")</f>
        <v>-</v>
      </c>
      <c r="S5" s="14" t="str">
        <f>IFERROR(VLOOKUP($A5,[40]!Table1[#All],3,0),"-")</f>
        <v>-</v>
      </c>
      <c r="T5" s="1" t="str">
        <f>IFERROR(VLOOKUP($A5,[41]!Table1[#All],2,0),"-")</f>
        <v>-</v>
      </c>
      <c r="U5" s="14" t="str">
        <f>IFERROR(VLOOKUP($A5,[41]!Table1[#All],3,0),"-")</f>
        <v>-</v>
      </c>
      <c r="V5" s="1" t="str">
        <f>IFERROR(VLOOKUP($A5,[42]!Table1[#All],2,0),"-")</f>
        <v>-</v>
      </c>
      <c r="W5" s="14" t="str">
        <f>IFERROR(VLOOKUP($A5,[42]!Table1[#All],3,0),"-")</f>
        <v>-</v>
      </c>
      <c r="X5" s="1" t="str">
        <f>IFERROR(VLOOKUP($A5,[43]!Table1[#All],2,0),"-")</f>
        <v>-</v>
      </c>
      <c r="Y5" s="14" t="str">
        <f>IFERROR(VLOOKUP($A5,[43]!Table1[#All],3,0),"-")</f>
        <v>-</v>
      </c>
      <c r="Z5" s="1" t="str">
        <f>IFERROR(VLOOKUP($A5,[44]!Table1[#All],2,0),"-")</f>
        <v>-</v>
      </c>
      <c r="AA5" s="14" t="str">
        <f>IFERROR(VLOOKUP($A5,[44]!Table1[#All],3,0),"-")</f>
        <v>-</v>
      </c>
      <c r="AB5" s="1" t="str">
        <f>IFERROR(VLOOKUP($A5,[45]!Table1[#All],2,0),"-")</f>
        <v>-</v>
      </c>
      <c r="AC5" s="14" t="str">
        <f>IFERROR(VLOOKUP($A5,[45]!Table1[#All],3,0),"-")</f>
        <v>-</v>
      </c>
      <c r="AD5" s="1" t="str">
        <f>IFERROR(VLOOKUP($A5,[46]!Table1[#All],2,0),"-")</f>
        <v>-</v>
      </c>
      <c r="AE5" s="20" t="str">
        <f>IFERROR(VLOOKUP($A5,[46]!Table1[#All],3,0),"-")</f>
        <v>-</v>
      </c>
      <c r="AF5" s="1" t="str">
        <f>IFERROR(VLOOKUP($A5,[47]!Table1[#All],2,0),"-")</f>
        <v>-</v>
      </c>
      <c r="AG5" s="14" t="str">
        <f>IFERROR(VLOOKUP($A5,[47]!Table1[#All],3,0),"-")</f>
        <v>-</v>
      </c>
      <c r="AH5" s="1" t="str">
        <f>IFERROR(VLOOKUP($A5,[48]!Table1[#All],2,0),"-")</f>
        <v>-</v>
      </c>
      <c r="AI5" s="14" t="str">
        <f>IFERROR(VLOOKUP($A5,[48]!Table1[#All],3,0),"-")</f>
        <v>-</v>
      </c>
      <c r="AJ5" s="1" t="str">
        <f>IFERROR(VLOOKUP($A5,[49]!Table1[#All],2,0),"-")</f>
        <v>-</v>
      </c>
      <c r="AK5" s="14" t="str">
        <f>IFERROR(VLOOKUP($A5,[49]!Table1[#All],3,0),"-")</f>
        <v>-</v>
      </c>
      <c r="AL5" s="1" t="str">
        <f>IFERROR(VLOOKUP($A5,[50]!Table1[#All],2,0),"-")</f>
        <v>-</v>
      </c>
      <c r="AM5" s="14" t="str">
        <f>IFERROR(VLOOKUP($A5,[50]!Table1[#All],3,0),"-")</f>
        <v>-</v>
      </c>
      <c r="AN5" s="1" t="str">
        <f>IFERROR(VLOOKUP($A5,[51]!Table1[#All],2,0),"-")</f>
        <v>-</v>
      </c>
      <c r="AO5" s="14" t="str">
        <f>IFERROR(VLOOKUP($A5,[51]!Table1[#All],3,0),"-")</f>
        <v>-</v>
      </c>
      <c r="AP5" s="1" t="str">
        <f>IFERROR(VLOOKUP($A5,[52]!Table1[#All],2,0),"-")</f>
        <v>-</v>
      </c>
      <c r="AQ5" s="14" t="str">
        <f>IFERROR(VLOOKUP($A5,[52]!Table1[#All],3,0),"-")</f>
        <v>-</v>
      </c>
      <c r="AR5" s="1" t="str">
        <f>IFERROR(VLOOKUP($A5,[53]!Table1[#All],2,0),"-")</f>
        <v>-</v>
      </c>
      <c r="AS5" s="14" t="str">
        <f>IFERROR(VLOOKUP($A5,[53]!Table1[#All],3,0),"-")</f>
        <v>-</v>
      </c>
      <c r="AT5" s="1" t="str">
        <f>IFERROR(VLOOKUP($A5,[54]!Table1[#All],2,0),"-")</f>
        <v>-</v>
      </c>
      <c r="AU5" s="14" t="str">
        <f>IFERROR(VLOOKUP($A5,[54]!Table1[#All],3,0),"-")</f>
        <v>-</v>
      </c>
      <c r="AV5" s="1" t="str">
        <f>IFERROR(VLOOKUP($A5,[55]!Table1[#All],2,0),"-")</f>
        <v>-</v>
      </c>
      <c r="AW5" s="14" t="str">
        <f>IFERROR(VLOOKUP($A5,[55]!Table1[#All],3,0),"-")</f>
        <v>-</v>
      </c>
      <c r="AX5" s="1" t="str">
        <f>IFERROR(VLOOKUP($A5,[56]!Table1[#All],2,0),"-")</f>
        <v>-</v>
      </c>
      <c r="AY5" s="14" t="str">
        <f>IFERROR(VLOOKUP($A5,[56]!Table1[#All],3,0),"-")</f>
        <v>-</v>
      </c>
      <c r="AZ5" s="1" t="str">
        <f>IFERROR(VLOOKUP($A5,[57]!Table1[#All],2,0),"-")</f>
        <v>-</v>
      </c>
      <c r="BA5" s="14" t="str">
        <f>IFERROR(VLOOKUP($A5,[57]!Table1[#All],3,0),"-")</f>
        <v>-</v>
      </c>
      <c r="BB5" s="1" t="str">
        <f>IFERROR(VLOOKUP($A5,[58]!Table1[#All],2,0),"-")</f>
        <v>-</v>
      </c>
      <c r="BC5" s="14" t="str">
        <f>IFERROR(VLOOKUP($A5,[58]!Table1[#All],3,0),"-")</f>
        <v>-</v>
      </c>
      <c r="BD5" s="1" t="str">
        <f>IFERROR(VLOOKUP($A5,[59]!Table1[#All],2,0),"-")</f>
        <v>-</v>
      </c>
      <c r="BE5" s="14" t="str">
        <f>IFERROR(VLOOKUP($A5,[59]!Table1[#All],3,0),"-")</f>
        <v>-</v>
      </c>
      <c r="BF5" s="1" t="str">
        <f>IFERROR(VLOOKUP($A5,[60]!Table1[#All],2,0),"-")</f>
        <v>-</v>
      </c>
      <c r="BG5" s="14" t="str">
        <f>IFERROR(VLOOKUP($A5,[60]!Table1[#All],3,0),"-")</f>
        <v>-</v>
      </c>
      <c r="BH5" s="1" t="str">
        <f>IFERROR(VLOOKUP($A5,[61]!Table1[#All],2,0),"-")</f>
        <v>-</v>
      </c>
      <c r="BI5" s="14" t="str">
        <f>IFERROR(VLOOKUP($A5,[61]!Table1[#All],3,0),"-")</f>
        <v>-</v>
      </c>
      <c r="BJ5" s="1" t="str">
        <f>IFERROR(VLOOKUP($A5,[62]!Table1[#All],2,0),"-")</f>
        <v>-</v>
      </c>
      <c r="BK5" s="14" t="str">
        <f>IFERROR(VLOOKUP($A5,[62]!Table1[#All],3,0),"-")</f>
        <v>-</v>
      </c>
      <c r="BL5" s="11">
        <f t="shared" si="27"/>
        <v>0</v>
      </c>
      <c r="BM5" s="22">
        <f t="shared" si="28"/>
        <v>0</v>
      </c>
    </row>
    <row r="6" spans="1:65" x14ac:dyDescent="0.2">
      <c r="A6" s="13" t="s">
        <v>17</v>
      </c>
      <c r="B6" s="1" t="str">
        <f>IFERROR(VLOOKUP($A6,[32]!Table1[#All],2,0),"-")</f>
        <v>-</v>
      </c>
      <c r="C6" s="14" t="str">
        <f>IFERROR(VLOOKUP($A6,[32]!Table1[#All],3,0),"-")</f>
        <v>-</v>
      </c>
      <c r="D6" s="1" t="str">
        <f>IFERROR(VLOOKUP($A6,[33]!Table1[#All],2,0),"-")</f>
        <v>-</v>
      </c>
      <c r="E6" s="3" t="str">
        <f>IFERROR(VLOOKUP($A6,[33]!Table1[#All],3,0),"-")</f>
        <v>-</v>
      </c>
      <c r="F6" s="1" t="str">
        <f>IFERROR(VLOOKUP($A6,[34]!Table2[#All],2,0),"-")</f>
        <v>-</v>
      </c>
      <c r="G6" s="14" t="str">
        <f>IFERROR(VLOOKUP($A6,[34]!Table2[#All],3,0),"-")</f>
        <v>-</v>
      </c>
      <c r="H6" s="1" t="str">
        <f>IFERROR(VLOOKUP($A6,[35]!Table1[#All],2,0),"-")</f>
        <v>-</v>
      </c>
      <c r="I6" s="14" t="str">
        <f>IFERROR(VLOOKUP($A6,[35]!Table1[#All],3,0),"-")</f>
        <v>-</v>
      </c>
      <c r="J6" s="1" t="str">
        <f>IFERROR(VLOOKUP($A6,[36]!Table1[#All],2,0),"-")</f>
        <v>-</v>
      </c>
      <c r="K6" s="14" t="str">
        <f>IFERROR(VLOOKUP($A6,[36]!Table1[#All],3,0),"-")</f>
        <v>-</v>
      </c>
      <c r="L6" s="1" t="str">
        <f>IFERROR(VLOOKUP($A6,[37]!Table1[#All],2,0),"-")</f>
        <v>-</v>
      </c>
      <c r="M6" s="20" t="str">
        <f>IFERROR(VLOOKUP($A6,[37]!Table1[#All],3,0),"-")</f>
        <v>-</v>
      </c>
      <c r="N6" s="1" t="str">
        <f>IFERROR(VLOOKUP($A6,[38]!Table1[#All],2,0),"-")</f>
        <v>-</v>
      </c>
      <c r="O6" s="14" t="str">
        <f>IFERROR(VLOOKUP($A6,[38]!Table1[#All],3,0),"-")</f>
        <v>-</v>
      </c>
      <c r="P6" s="1" t="str">
        <f>IFERROR(VLOOKUP($A6,[39]!Table1[#All],2,0),"-")</f>
        <v>-</v>
      </c>
      <c r="Q6" s="14" t="str">
        <f>IFERROR(VLOOKUP($A6,[39]!Table1[#All],3,0),"-")</f>
        <v>-</v>
      </c>
      <c r="R6" s="1" t="str">
        <f>IFERROR(VLOOKUP($A6,[40]!Table1[#All],2,0),"-")</f>
        <v>-</v>
      </c>
      <c r="S6" s="14" t="str">
        <f>IFERROR(VLOOKUP($A6,[40]!Table1[#All],3,0),"-")</f>
        <v>-</v>
      </c>
      <c r="T6" s="1" t="str">
        <f>IFERROR(VLOOKUP($A6,[41]!Table1[#All],2,0),"-")</f>
        <v>-</v>
      </c>
      <c r="U6" s="14" t="str">
        <f>IFERROR(VLOOKUP($A6,[41]!Table1[#All],3,0),"-")</f>
        <v>-</v>
      </c>
      <c r="V6" s="1" t="str">
        <f>IFERROR(VLOOKUP($A6,[42]!Table1[#All],2,0),"-")</f>
        <v>-</v>
      </c>
      <c r="W6" s="14" t="str">
        <f>IFERROR(VLOOKUP($A6,[42]!Table1[#All],3,0),"-")</f>
        <v>-</v>
      </c>
      <c r="X6" s="1" t="str">
        <f>IFERROR(VLOOKUP($A6,[43]!Table1[#All],2,0),"-")</f>
        <v>-</v>
      </c>
      <c r="Y6" s="14" t="str">
        <f>IFERROR(VLOOKUP($A6,[43]!Table1[#All],3,0),"-")</f>
        <v>-</v>
      </c>
      <c r="Z6" s="1" t="str">
        <f>IFERROR(VLOOKUP($A6,[44]!Table1[#All],2,0),"-")</f>
        <v>-</v>
      </c>
      <c r="AA6" s="14" t="str">
        <f>IFERROR(VLOOKUP($A6,[44]!Table1[#All],3,0),"-")</f>
        <v>-</v>
      </c>
      <c r="AB6" s="1" t="str">
        <f>IFERROR(VLOOKUP($A6,[45]!Table1[#All],2,0),"-")</f>
        <v>-</v>
      </c>
      <c r="AC6" s="14" t="str">
        <f>IFERROR(VLOOKUP($A6,[45]!Table1[#All],3,0),"-")</f>
        <v>-</v>
      </c>
      <c r="AD6" s="1" t="str">
        <f>IFERROR(VLOOKUP($A6,[46]!Table1[#All],2,0),"-")</f>
        <v>-</v>
      </c>
      <c r="AE6" s="20" t="str">
        <f>IFERROR(VLOOKUP($A6,[46]!Table1[#All],3,0),"-")</f>
        <v>-</v>
      </c>
      <c r="AF6" s="1" t="str">
        <f>IFERROR(VLOOKUP($A6,[47]!Table1[#All],2,0),"-")</f>
        <v>-</v>
      </c>
      <c r="AG6" s="14" t="str">
        <f>IFERROR(VLOOKUP($A6,[47]!Table1[#All],3,0),"-")</f>
        <v>-</v>
      </c>
      <c r="AH6" s="1" t="str">
        <f>IFERROR(VLOOKUP($A6,[48]!Table1[#All],2,0),"-")</f>
        <v>-</v>
      </c>
      <c r="AI6" s="14" t="str">
        <f>IFERROR(VLOOKUP($A6,[48]!Table1[#All],3,0),"-")</f>
        <v>-</v>
      </c>
      <c r="AJ6" s="1" t="str">
        <f>IFERROR(VLOOKUP($A6,[49]!Table1[#All],2,0),"-")</f>
        <v>-</v>
      </c>
      <c r="AK6" s="14" t="str">
        <f>IFERROR(VLOOKUP($A6,[49]!Table1[#All],3,0),"-")</f>
        <v>-</v>
      </c>
      <c r="AL6" s="1" t="str">
        <f>IFERROR(VLOOKUP($A6,[50]!Table1[#All],2,0),"-")</f>
        <v>-</v>
      </c>
      <c r="AM6" s="14" t="str">
        <f>IFERROR(VLOOKUP($A6,[50]!Table1[#All],3,0),"-")</f>
        <v>-</v>
      </c>
      <c r="AN6" s="1" t="str">
        <f>IFERROR(VLOOKUP($A6,[51]!Table1[#All],2,0),"-")</f>
        <v>-</v>
      </c>
      <c r="AO6" s="14" t="str">
        <f>IFERROR(VLOOKUP($A6,[51]!Table1[#All],3,0),"-")</f>
        <v>-</v>
      </c>
      <c r="AP6" s="1" t="str">
        <f>IFERROR(VLOOKUP($A6,[52]!Table1[#All],2,0),"-")</f>
        <v>-</v>
      </c>
      <c r="AQ6" s="14" t="str">
        <f>IFERROR(VLOOKUP($A6,[52]!Table1[#All],3,0),"-")</f>
        <v>-</v>
      </c>
      <c r="AR6" s="1" t="str">
        <f>IFERROR(VLOOKUP($A6,[53]!Table1[#All],2,0),"-")</f>
        <v>-</v>
      </c>
      <c r="AS6" s="14" t="str">
        <f>IFERROR(VLOOKUP($A6,[53]!Table1[#All],3,0),"-")</f>
        <v>-</v>
      </c>
      <c r="AT6" s="1" t="str">
        <f>IFERROR(VLOOKUP($A6,[54]!Table1[#All],2,0),"-")</f>
        <v>-</v>
      </c>
      <c r="AU6" s="14" t="str">
        <f>IFERROR(VLOOKUP($A6,[54]!Table1[#All],3,0),"-")</f>
        <v>-</v>
      </c>
      <c r="AV6" s="1" t="str">
        <f>IFERROR(VLOOKUP($A6,[55]!Table1[#All],2,0),"-")</f>
        <v>-</v>
      </c>
      <c r="AW6" s="14" t="str">
        <f>IFERROR(VLOOKUP($A6,[55]!Table1[#All],3,0),"-")</f>
        <v>-</v>
      </c>
      <c r="AX6" s="1" t="str">
        <f>IFERROR(VLOOKUP($A6,[56]!Table1[#All],2,0),"-")</f>
        <v>-</v>
      </c>
      <c r="AY6" s="14" t="str">
        <f>IFERROR(VLOOKUP($A6,[56]!Table1[#All],3,0),"-")</f>
        <v>-</v>
      </c>
      <c r="AZ6" s="1" t="str">
        <f>IFERROR(VLOOKUP($A6,[57]!Table1[#All],2,0),"-")</f>
        <v>-</v>
      </c>
      <c r="BA6" s="14" t="str">
        <f>IFERROR(VLOOKUP($A6,[57]!Table1[#All],3,0),"-")</f>
        <v>-</v>
      </c>
      <c r="BB6" s="1" t="str">
        <f>IFERROR(VLOOKUP($A6,[58]!Table1[#All],2,0),"-")</f>
        <v>-</v>
      </c>
      <c r="BC6" s="14" t="str">
        <f>IFERROR(VLOOKUP($A6,[58]!Table1[#All],3,0),"-")</f>
        <v>-</v>
      </c>
      <c r="BD6" s="1" t="str">
        <f>IFERROR(VLOOKUP($A6,[59]!Table1[#All],2,0),"-")</f>
        <v>-</v>
      </c>
      <c r="BE6" s="14" t="str">
        <f>IFERROR(VLOOKUP($A6,[59]!Table1[#All],3,0),"-")</f>
        <v>-</v>
      </c>
      <c r="BF6" s="1" t="str">
        <f>IFERROR(VLOOKUP($A6,[60]!Table1[#All],2,0),"-")</f>
        <v>-</v>
      </c>
      <c r="BG6" s="14" t="str">
        <f>IFERROR(VLOOKUP($A6,[60]!Table1[#All],3,0),"-")</f>
        <v>-</v>
      </c>
      <c r="BH6" s="1" t="str">
        <f>IFERROR(VLOOKUP($A6,[61]!Table1[#All],2,0),"-")</f>
        <v>-</v>
      </c>
      <c r="BI6" s="14" t="str">
        <f>IFERROR(VLOOKUP($A6,[61]!Table1[#All],3,0),"-")</f>
        <v>-</v>
      </c>
      <c r="BJ6" s="1" t="str">
        <f>IFERROR(VLOOKUP($A6,[62]!Table1[#All],2,0),"-")</f>
        <v>-</v>
      </c>
      <c r="BK6" s="14" t="str">
        <f>IFERROR(VLOOKUP($A6,[62]!Table1[#All],3,0),"-")</f>
        <v>-</v>
      </c>
      <c r="BL6" s="11">
        <f t="shared" si="27"/>
        <v>0</v>
      </c>
      <c r="BM6" s="22">
        <f t="shared" si="28"/>
        <v>0</v>
      </c>
    </row>
    <row r="7" spans="1:65" x14ac:dyDescent="0.2">
      <c r="A7" s="13" t="s">
        <v>15</v>
      </c>
      <c r="B7" s="1" t="str">
        <f>IFERROR(VLOOKUP($A7,[32]!Table1[#All],2,0),"-")</f>
        <v>-</v>
      </c>
      <c r="C7" s="14" t="str">
        <f>IFERROR(VLOOKUP($A7,[32]!Table1[#All],3,0),"-")</f>
        <v>-</v>
      </c>
      <c r="D7" s="1" t="str">
        <f>IFERROR(VLOOKUP($A7,[33]!Table1[#All],2,0),"-")</f>
        <v>-</v>
      </c>
      <c r="E7" s="3" t="str">
        <f>IFERROR(VLOOKUP($A7,[33]!Table1[#All],3,0),"-")</f>
        <v>-</v>
      </c>
      <c r="F7" s="1" t="str">
        <f>IFERROR(VLOOKUP($A7,[34]!Table2[#All],2,0),"-")</f>
        <v>-</v>
      </c>
      <c r="G7" s="14" t="str">
        <f>IFERROR(VLOOKUP($A7,[34]!Table2[#All],3,0),"-")</f>
        <v>-</v>
      </c>
      <c r="H7" s="1" t="str">
        <f>IFERROR(VLOOKUP($A7,[35]!Table1[#All],2,0),"-")</f>
        <v>-</v>
      </c>
      <c r="I7" s="14" t="str">
        <f>IFERROR(VLOOKUP($A7,[35]!Table1[#All],3,0),"-")</f>
        <v>-</v>
      </c>
      <c r="J7" s="1" t="str">
        <f>IFERROR(VLOOKUP($A7,[36]!Table1[#All],2,0),"-")</f>
        <v>-</v>
      </c>
      <c r="K7" s="14" t="str">
        <f>IFERROR(VLOOKUP($A7,[36]!Table1[#All],3,0),"-")</f>
        <v>-</v>
      </c>
      <c r="L7" s="1" t="str">
        <f>IFERROR(VLOOKUP($A7,[37]!Table1[#All],2,0),"-")</f>
        <v>-</v>
      </c>
      <c r="M7" s="20" t="str">
        <f>IFERROR(VLOOKUP($A7,[37]!Table1[#All],3,0),"-")</f>
        <v>-</v>
      </c>
      <c r="N7" s="1" t="str">
        <f>IFERROR(VLOOKUP($A7,[38]!Table1[#All],2,0),"-")</f>
        <v>-</v>
      </c>
      <c r="O7" s="14" t="str">
        <f>IFERROR(VLOOKUP($A7,[38]!Table1[#All],3,0),"-")</f>
        <v>-</v>
      </c>
      <c r="P7" s="1" t="str">
        <f>IFERROR(VLOOKUP($A7,[39]!Table1[#All],2,0),"-")</f>
        <v>-</v>
      </c>
      <c r="Q7" s="14" t="str">
        <f>IFERROR(VLOOKUP($A7,[39]!Table1[#All],3,0),"-")</f>
        <v>-</v>
      </c>
      <c r="R7" s="1" t="str">
        <f>IFERROR(VLOOKUP($A7,[40]!Table1[#All],2,0),"-")</f>
        <v>-</v>
      </c>
      <c r="S7" s="14" t="str">
        <f>IFERROR(VLOOKUP($A7,[40]!Table1[#All],3,0),"-")</f>
        <v>-</v>
      </c>
      <c r="T7" s="1" t="str">
        <f>IFERROR(VLOOKUP($A7,[41]!Table1[#All],2,0),"-")</f>
        <v>-</v>
      </c>
      <c r="U7" s="14" t="str">
        <f>IFERROR(VLOOKUP($A7,[41]!Table1[#All],3,0),"-")</f>
        <v>-</v>
      </c>
      <c r="V7" s="1" t="str">
        <f>IFERROR(VLOOKUP($A7,[42]!Table1[#All],2,0),"-")</f>
        <v>-</v>
      </c>
      <c r="W7" s="14" t="str">
        <f>IFERROR(VLOOKUP($A7,[42]!Table1[#All],3,0),"-")</f>
        <v>-</v>
      </c>
      <c r="X7" s="1" t="str">
        <f>IFERROR(VLOOKUP($A7,[43]!Table1[#All],2,0),"-")</f>
        <v>-</v>
      </c>
      <c r="Y7" s="14" t="str">
        <f>IFERROR(VLOOKUP($A7,[43]!Table1[#All],3,0),"-")</f>
        <v>-</v>
      </c>
      <c r="Z7" s="1" t="str">
        <f>IFERROR(VLOOKUP($A7,[44]!Table1[#All],2,0),"-")</f>
        <v>-</v>
      </c>
      <c r="AA7" s="14" t="str">
        <f>IFERROR(VLOOKUP($A7,[44]!Table1[#All],3,0),"-")</f>
        <v>-</v>
      </c>
      <c r="AB7" s="1" t="str">
        <f>IFERROR(VLOOKUP($A7,[45]!Table1[#All],2,0),"-")</f>
        <v>-</v>
      </c>
      <c r="AC7" s="14" t="str">
        <f>IFERROR(VLOOKUP($A7,[45]!Table1[#All],3,0),"-")</f>
        <v>-</v>
      </c>
      <c r="AD7" s="1" t="str">
        <f>IFERROR(VLOOKUP($A7,[46]!Table1[#All],2,0),"-")</f>
        <v>-</v>
      </c>
      <c r="AE7" s="20" t="str">
        <f>IFERROR(VLOOKUP($A7,[46]!Table1[#All],3,0),"-")</f>
        <v>-</v>
      </c>
      <c r="AF7" s="1" t="str">
        <f>IFERROR(VLOOKUP($A7,[47]!Table1[#All],2,0),"-")</f>
        <v>-</v>
      </c>
      <c r="AG7" s="14" t="str">
        <f>IFERROR(VLOOKUP($A7,[47]!Table1[#All],3,0),"-")</f>
        <v>-</v>
      </c>
      <c r="AH7" s="1" t="str">
        <f>IFERROR(VLOOKUP($A7,[48]!Table1[#All],2,0),"-")</f>
        <v>-</v>
      </c>
      <c r="AI7" s="14" t="str">
        <f>IFERROR(VLOOKUP($A7,[48]!Table1[#All],3,0),"-")</f>
        <v>-</v>
      </c>
      <c r="AJ7" s="1" t="str">
        <f>IFERROR(VLOOKUP($A7,[49]!Table1[#All],2,0),"-")</f>
        <v>-</v>
      </c>
      <c r="AK7" s="14" t="str">
        <f>IFERROR(VLOOKUP($A7,[49]!Table1[#All],3,0),"-")</f>
        <v>-</v>
      </c>
      <c r="AL7" s="1" t="str">
        <f>IFERROR(VLOOKUP($A7,[50]!Table1[#All],2,0),"-")</f>
        <v>-</v>
      </c>
      <c r="AM7" s="14" t="str">
        <f>IFERROR(VLOOKUP($A7,[50]!Table1[#All],3,0),"-")</f>
        <v>-</v>
      </c>
      <c r="AN7" s="1" t="str">
        <f>IFERROR(VLOOKUP($A7,[51]!Table1[#All],2,0),"-")</f>
        <v>-</v>
      </c>
      <c r="AO7" s="14" t="str">
        <f>IFERROR(VLOOKUP($A7,[51]!Table1[#All],3,0),"-")</f>
        <v>-</v>
      </c>
      <c r="AP7" s="1" t="str">
        <f>IFERROR(VLOOKUP($A7,[52]!Table1[#All],2,0),"-")</f>
        <v>-</v>
      </c>
      <c r="AQ7" s="14" t="str">
        <f>IFERROR(VLOOKUP($A7,[52]!Table1[#All],3,0),"-")</f>
        <v>-</v>
      </c>
      <c r="AR7" s="1" t="str">
        <f>IFERROR(VLOOKUP($A7,[53]!Table1[#All],2,0),"-")</f>
        <v>-</v>
      </c>
      <c r="AS7" s="14" t="str">
        <f>IFERROR(VLOOKUP($A7,[53]!Table1[#All],3,0),"-")</f>
        <v>-</v>
      </c>
      <c r="AT7" s="1" t="str">
        <f>IFERROR(VLOOKUP($A7,[54]!Table1[#All],2,0),"-")</f>
        <v>-</v>
      </c>
      <c r="AU7" s="14" t="str">
        <f>IFERROR(VLOOKUP($A7,[54]!Table1[#All],3,0),"-")</f>
        <v>-</v>
      </c>
      <c r="AV7" s="1" t="str">
        <f>IFERROR(VLOOKUP($A7,[55]!Table1[#All],2,0),"-")</f>
        <v>-</v>
      </c>
      <c r="AW7" s="14" t="str">
        <f>IFERROR(VLOOKUP($A7,[55]!Table1[#All],3,0),"-")</f>
        <v>-</v>
      </c>
      <c r="AX7" s="1" t="str">
        <f>IFERROR(VLOOKUP($A7,[56]!Table1[#All],2,0),"-")</f>
        <v>-</v>
      </c>
      <c r="AY7" s="14" t="str">
        <f>IFERROR(VLOOKUP($A7,[56]!Table1[#All],3,0),"-")</f>
        <v>-</v>
      </c>
      <c r="AZ7" s="1" t="str">
        <f>IFERROR(VLOOKUP($A7,[57]!Table1[#All],2,0),"-")</f>
        <v>-</v>
      </c>
      <c r="BA7" s="14" t="str">
        <f>IFERROR(VLOOKUP($A7,[57]!Table1[#All],3,0),"-")</f>
        <v>-</v>
      </c>
      <c r="BB7" s="1" t="str">
        <f>IFERROR(VLOOKUP($A7,[58]!Table1[#All],2,0),"-")</f>
        <v>-</v>
      </c>
      <c r="BC7" s="14" t="str">
        <f>IFERROR(VLOOKUP($A7,[58]!Table1[#All],3,0),"-")</f>
        <v>-</v>
      </c>
      <c r="BD7" s="1" t="str">
        <f>IFERROR(VLOOKUP($A7,[59]!Table1[#All],2,0),"-")</f>
        <v>-</v>
      </c>
      <c r="BE7" s="14" t="str">
        <f>IFERROR(VLOOKUP($A7,[59]!Table1[#All],3,0),"-")</f>
        <v>-</v>
      </c>
      <c r="BF7" s="1" t="str">
        <f>IFERROR(VLOOKUP($A7,[60]!Table1[#All],2,0),"-")</f>
        <v>-</v>
      </c>
      <c r="BG7" s="14" t="str">
        <f>IFERROR(VLOOKUP($A7,[60]!Table1[#All],3,0),"-")</f>
        <v>-</v>
      </c>
      <c r="BH7" s="1" t="str">
        <f>IFERROR(VLOOKUP($A7,[61]!Table1[#All],2,0),"-")</f>
        <v>-</v>
      </c>
      <c r="BI7" s="14" t="str">
        <f>IFERROR(VLOOKUP($A7,[61]!Table1[#All],3,0),"-")</f>
        <v>-</v>
      </c>
      <c r="BJ7" s="1" t="str">
        <f>IFERROR(VLOOKUP($A7,[62]!Table1[#All],2,0),"-")</f>
        <v>-</v>
      </c>
      <c r="BK7" s="14" t="str">
        <f>IFERROR(VLOOKUP($A7,[62]!Table1[#All],3,0),"-")</f>
        <v>-</v>
      </c>
      <c r="BL7" s="11">
        <f t="shared" si="27"/>
        <v>0</v>
      </c>
      <c r="BM7" s="22">
        <f t="shared" si="28"/>
        <v>0</v>
      </c>
    </row>
    <row r="8" spans="1:65" x14ac:dyDescent="0.2">
      <c r="A8" s="13" t="s">
        <v>12</v>
      </c>
      <c r="B8" s="1" t="str">
        <f>IFERROR(VLOOKUP($A8,[32]!Table1[#All],2,0),"-")</f>
        <v>-</v>
      </c>
      <c r="C8" s="14" t="str">
        <f>IFERROR(VLOOKUP($A8,[32]!Table1[#All],3,0),"-")</f>
        <v>-</v>
      </c>
      <c r="D8" s="1" t="str">
        <f>IFERROR(VLOOKUP($A8,[33]!Table1[#All],2,0),"-")</f>
        <v>-</v>
      </c>
      <c r="E8" s="3" t="str">
        <f>IFERROR(VLOOKUP($A8,[33]!Table1[#All],3,0),"-")</f>
        <v>-</v>
      </c>
      <c r="F8" s="1" t="str">
        <f>IFERROR(VLOOKUP($A8,[34]!Table2[#All],2,0),"-")</f>
        <v>-</v>
      </c>
      <c r="G8" s="14" t="str">
        <f>IFERROR(VLOOKUP($A8,[34]!Table2[#All],3,0),"-")</f>
        <v>-</v>
      </c>
      <c r="H8" s="1" t="str">
        <f>IFERROR(VLOOKUP($A8,[35]!Table1[#All],2,0),"-")</f>
        <v>-</v>
      </c>
      <c r="I8" s="14" t="str">
        <f>IFERROR(VLOOKUP($A8,[35]!Table1[#All],3,0),"-")</f>
        <v>-</v>
      </c>
      <c r="J8" s="1" t="str">
        <f>IFERROR(VLOOKUP($A8,[36]!Table1[#All],2,0),"-")</f>
        <v>-</v>
      </c>
      <c r="K8" s="14" t="str">
        <f>IFERROR(VLOOKUP($A8,[36]!Table1[#All],3,0),"-")</f>
        <v>-</v>
      </c>
      <c r="L8" s="1" t="str">
        <f>IFERROR(VLOOKUP($A8,[37]!Table1[#All],2,0),"-")</f>
        <v>-</v>
      </c>
      <c r="M8" s="20" t="str">
        <f>IFERROR(VLOOKUP($A8,[37]!Table1[#All],3,0),"-")</f>
        <v>-</v>
      </c>
      <c r="N8" s="1" t="str">
        <f>IFERROR(VLOOKUP($A8,[38]!Table1[#All],2,0),"-")</f>
        <v>-</v>
      </c>
      <c r="O8" s="14" t="str">
        <f>IFERROR(VLOOKUP($A8,[38]!Table1[#All],3,0),"-")</f>
        <v>-</v>
      </c>
      <c r="P8" s="1" t="str">
        <f>IFERROR(VLOOKUP($A8,[39]!Table1[#All],2,0),"-")</f>
        <v>-</v>
      </c>
      <c r="Q8" s="14" t="str">
        <f>IFERROR(VLOOKUP($A8,[39]!Table1[#All],3,0),"-")</f>
        <v>-</v>
      </c>
      <c r="R8" s="1" t="str">
        <f>IFERROR(VLOOKUP($A8,[40]!Table1[#All],2,0),"-")</f>
        <v>-</v>
      </c>
      <c r="S8" s="14" t="str">
        <f>IFERROR(VLOOKUP($A8,[40]!Table1[#All],3,0),"-")</f>
        <v>-</v>
      </c>
      <c r="T8" s="1" t="str">
        <f>IFERROR(VLOOKUP($A8,[41]!Table1[#All],2,0),"-")</f>
        <v>-</v>
      </c>
      <c r="U8" s="14" t="str">
        <f>IFERROR(VLOOKUP($A8,[41]!Table1[#All],3,0),"-")</f>
        <v>-</v>
      </c>
      <c r="V8" s="1" t="str">
        <f>IFERROR(VLOOKUP($A8,[42]!Table1[#All],2,0),"-")</f>
        <v>-</v>
      </c>
      <c r="W8" s="14" t="str">
        <f>IFERROR(VLOOKUP($A8,[42]!Table1[#All],3,0),"-")</f>
        <v>-</v>
      </c>
      <c r="X8" s="1" t="str">
        <f>IFERROR(VLOOKUP($A8,[43]!Table1[#All],2,0),"-")</f>
        <v>-</v>
      </c>
      <c r="Y8" s="14" t="str">
        <f>IFERROR(VLOOKUP($A8,[43]!Table1[#All],3,0),"-")</f>
        <v>-</v>
      </c>
      <c r="Z8" s="1" t="str">
        <f>IFERROR(VLOOKUP($A8,[44]!Table1[#All],2,0),"-")</f>
        <v>-</v>
      </c>
      <c r="AA8" s="14" t="str">
        <f>IFERROR(VLOOKUP($A8,[44]!Table1[#All],3,0),"-")</f>
        <v>-</v>
      </c>
      <c r="AB8" s="1" t="str">
        <f>IFERROR(VLOOKUP($A8,[45]!Table1[#All],2,0),"-")</f>
        <v>-</v>
      </c>
      <c r="AC8" s="14" t="str">
        <f>IFERROR(VLOOKUP($A8,[45]!Table1[#All],3,0),"-")</f>
        <v>-</v>
      </c>
      <c r="AD8" s="1" t="str">
        <f>IFERROR(VLOOKUP($A8,[46]!Table1[#All],2,0),"-")</f>
        <v>-</v>
      </c>
      <c r="AE8" s="20" t="str">
        <f>IFERROR(VLOOKUP($A8,[46]!Table1[#All],3,0),"-")</f>
        <v>-</v>
      </c>
      <c r="AF8" s="1" t="str">
        <f>IFERROR(VLOOKUP($A8,[47]!Table1[#All],2,0),"-")</f>
        <v>-</v>
      </c>
      <c r="AG8" s="14" t="str">
        <f>IFERROR(VLOOKUP($A8,[47]!Table1[#All],3,0),"-")</f>
        <v>-</v>
      </c>
      <c r="AH8" s="1" t="str">
        <f>IFERROR(VLOOKUP($A8,[48]!Table1[#All],2,0),"-")</f>
        <v>-</v>
      </c>
      <c r="AI8" s="14" t="str">
        <f>IFERROR(VLOOKUP($A8,[48]!Table1[#All],3,0),"-")</f>
        <v>-</v>
      </c>
      <c r="AJ8" s="1" t="str">
        <f>IFERROR(VLOOKUP($A8,[49]!Table1[#All],2,0),"-")</f>
        <v>-</v>
      </c>
      <c r="AK8" s="14" t="str">
        <f>IFERROR(VLOOKUP($A8,[49]!Table1[#All],3,0),"-")</f>
        <v>-</v>
      </c>
      <c r="AL8" s="1" t="str">
        <f>IFERROR(VLOOKUP($A8,[50]!Table1[#All],2,0),"-")</f>
        <v>-</v>
      </c>
      <c r="AM8" s="14" t="str">
        <f>IFERROR(VLOOKUP($A8,[50]!Table1[#All],3,0),"-")</f>
        <v>-</v>
      </c>
      <c r="AN8" s="1" t="str">
        <f>IFERROR(VLOOKUP($A8,[51]!Table1[#All],2,0),"-")</f>
        <v>-</v>
      </c>
      <c r="AO8" s="14" t="str">
        <f>IFERROR(VLOOKUP($A8,[51]!Table1[#All],3,0),"-")</f>
        <v>-</v>
      </c>
      <c r="AP8" s="1" t="str">
        <f>IFERROR(VLOOKUP($A8,[52]!Table1[#All],2,0),"-")</f>
        <v>-</v>
      </c>
      <c r="AQ8" s="14" t="str">
        <f>IFERROR(VLOOKUP($A8,[52]!Table1[#All],3,0),"-")</f>
        <v>-</v>
      </c>
      <c r="AR8" s="1" t="str">
        <f>IFERROR(VLOOKUP($A8,[53]!Table1[#All],2,0),"-")</f>
        <v>-</v>
      </c>
      <c r="AS8" s="14" t="str">
        <f>IFERROR(VLOOKUP($A8,[53]!Table1[#All],3,0),"-")</f>
        <v>-</v>
      </c>
      <c r="AT8" s="1" t="str">
        <f>IFERROR(VLOOKUP($A8,[54]!Table1[#All],2,0),"-")</f>
        <v>-</v>
      </c>
      <c r="AU8" s="14" t="str">
        <f>IFERROR(VLOOKUP($A8,[54]!Table1[#All],3,0),"-")</f>
        <v>-</v>
      </c>
      <c r="AV8" s="1" t="str">
        <f>IFERROR(VLOOKUP($A8,[55]!Table1[#All],2,0),"-")</f>
        <v>-</v>
      </c>
      <c r="AW8" s="14" t="str">
        <f>IFERROR(VLOOKUP($A8,[55]!Table1[#All],3,0),"-")</f>
        <v>-</v>
      </c>
      <c r="AX8" s="1" t="str">
        <f>IFERROR(VLOOKUP($A8,[56]!Table1[#All],2,0),"-")</f>
        <v>-</v>
      </c>
      <c r="AY8" s="14" t="str">
        <f>IFERROR(VLOOKUP($A8,[56]!Table1[#All],3,0),"-")</f>
        <v>-</v>
      </c>
      <c r="AZ8" s="1" t="str">
        <f>IFERROR(VLOOKUP($A8,[57]!Table1[#All],2,0),"-")</f>
        <v>-</v>
      </c>
      <c r="BA8" s="14" t="str">
        <f>IFERROR(VLOOKUP($A8,[57]!Table1[#All],3,0),"-")</f>
        <v>-</v>
      </c>
      <c r="BB8" s="1" t="str">
        <f>IFERROR(VLOOKUP($A8,[58]!Table1[#All],2,0),"-")</f>
        <v>-</v>
      </c>
      <c r="BC8" s="14" t="str">
        <f>IFERROR(VLOOKUP($A8,[58]!Table1[#All],3,0),"-")</f>
        <v>-</v>
      </c>
      <c r="BD8" s="1" t="str">
        <f>IFERROR(VLOOKUP($A8,[59]!Table1[#All],2,0),"-")</f>
        <v>-</v>
      </c>
      <c r="BE8" s="14" t="str">
        <f>IFERROR(VLOOKUP($A8,[59]!Table1[#All],3,0),"-")</f>
        <v>-</v>
      </c>
      <c r="BF8" s="1" t="str">
        <f>IFERROR(VLOOKUP($A8,[60]!Table1[#All],2,0),"-")</f>
        <v>-</v>
      </c>
      <c r="BG8" s="14" t="str">
        <f>IFERROR(VLOOKUP($A8,[60]!Table1[#All],3,0),"-")</f>
        <v>-</v>
      </c>
      <c r="BH8" s="1" t="str">
        <f>IFERROR(VLOOKUP($A8,[61]!Table1[#All],2,0),"-")</f>
        <v>-</v>
      </c>
      <c r="BI8" s="14" t="str">
        <f>IFERROR(VLOOKUP($A8,[61]!Table1[#All],3,0),"-")</f>
        <v>-</v>
      </c>
      <c r="BJ8" s="1" t="str">
        <f>IFERROR(VLOOKUP($A8,[62]!Table1[#All],2,0),"-")</f>
        <v>-</v>
      </c>
      <c r="BK8" s="14" t="str">
        <f>IFERROR(VLOOKUP($A8,[62]!Table1[#All],3,0),"-")</f>
        <v>-</v>
      </c>
      <c r="BL8" s="11">
        <f t="shared" si="27"/>
        <v>0</v>
      </c>
      <c r="BM8" s="22">
        <f t="shared" si="28"/>
        <v>0</v>
      </c>
    </row>
    <row r="9" spans="1:65" x14ac:dyDescent="0.2">
      <c r="A9" s="13" t="s">
        <v>18</v>
      </c>
      <c r="B9" s="1" t="str">
        <f>IFERROR(VLOOKUP($A9,[32]!Table1[#All],2,0),"-")</f>
        <v>-</v>
      </c>
      <c r="C9" s="14" t="str">
        <f>IFERROR(VLOOKUP($A9,[32]!Table1[#All],3,0),"-")</f>
        <v>-</v>
      </c>
      <c r="D9" s="1" t="str">
        <f>IFERROR(VLOOKUP($A9,[33]!Table1[#All],2,0),"-")</f>
        <v>-</v>
      </c>
      <c r="E9" s="3" t="str">
        <f>IFERROR(VLOOKUP($A9,[33]!Table1[#All],3,0),"-")</f>
        <v>-</v>
      </c>
      <c r="F9" s="1" t="str">
        <f>IFERROR(VLOOKUP($A9,[34]!Table2[#All],2,0),"-")</f>
        <v>-</v>
      </c>
      <c r="G9" s="14" t="str">
        <f>IFERROR(VLOOKUP($A9,[34]!Table2[#All],3,0),"-")</f>
        <v>-</v>
      </c>
      <c r="H9" s="1" t="str">
        <f>IFERROR(VLOOKUP($A9,[35]!Table1[#All],2,0),"-")</f>
        <v>-</v>
      </c>
      <c r="I9" s="14" t="str">
        <f>IFERROR(VLOOKUP($A9,[35]!Table1[#All],3,0),"-")</f>
        <v>-</v>
      </c>
      <c r="J9" s="1" t="str">
        <f>IFERROR(VLOOKUP($A9,[36]!Table1[#All],2,0),"-")</f>
        <v>-</v>
      </c>
      <c r="K9" s="14" t="str">
        <f>IFERROR(VLOOKUP($A9,[36]!Table1[#All],3,0),"-")</f>
        <v>-</v>
      </c>
      <c r="L9" s="1" t="str">
        <f>IFERROR(VLOOKUP($A9,[37]!Table1[#All],2,0),"-")</f>
        <v>-</v>
      </c>
      <c r="M9" s="20" t="str">
        <f>IFERROR(VLOOKUP($A9,[37]!Table1[#All],3,0),"-")</f>
        <v>-</v>
      </c>
      <c r="N9" s="1" t="str">
        <f>IFERROR(VLOOKUP($A9,[38]!Table1[#All],2,0),"-")</f>
        <v>-</v>
      </c>
      <c r="O9" s="14" t="str">
        <f>IFERROR(VLOOKUP($A9,[38]!Table1[#All],3,0),"-")</f>
        <v>-</v>
      </c>
      <c r="P9" s="1" t="str">
        <f>IFERROR(VLOOKUP($A9,[39]!Table1[#All],2,0),"-")</f>
        <v>-</v>
      </c>
      <c r="Q9" s="14" t="str">
        <f>IFERROR(VLOOKUP($A9,[39]!Table1[#All],3,0),"-")</f>
        <v>-</v>
      </c>
      <c r="R9" s="1" t="str">
        <f>IFERROR(VLOOKUP($A9,[40]!Table1[#All],2,0),"-")</f>
        <v>-</v>
      </c>
      <c r="S9" s="14" t="str">
        <f>IFERROR(VLOOKUP($A9,[40]!Table1[#All],3,0),"-")</f>
        <v>-</v>
      </c>
      <c r="T9" s="1" t="str">
        <f>IFERROR(VLOOKUP($A9,[41]!Table1[#All],2,0),"-")</f>
        <v>-</v>
      </c>
      <c r="U9" s="14" t="str">
        <f>IFERROR(VLOOKUP($A9,[41]!Table1[#All],3,0),"-")</f>
        <v>-</v>
      </c>
      <c r="V9" s="1" t="str">
        <f>IFERROR(VLOOKUP($A9,[42]!Table1[#All],2,0),"-")</f>
        <v>-</v>
      </c>
      <c r="W9" s="14" t="str">
        <f>IFERROR(VLOOKUP($A9,[42]!Table1[#All],3,0),"-")</f>
        <v>-</v>
      </c>
      <c r="X9" s="1" t="str">
        <f>IFERROR(VLOOKUP($A9,[43]!Table1[#All],2,0),"-")</f>
        <v>-</v>
      </c>
      <c r="Y9" s="14" t="str">
        <f>IFERROR(VLOOKUP($A9,[43]!Table1[#All],3,0),"-")</f>
        <v>-</v>
      </c>
      <c r="Z9" s="1" t="str">
        <f>IFERROR(VLOOKUP($A9,[44]!Table1[#All],2,0),"-")</f>
        <v>-</v>
      </c>
      <c r="AA9" s="14" t="str">
        <f>IFERROR(VLOOKUP($A9,[44]!Table1[#All],3,0),"-")</f>
        <v>-</v>
      </c>
      <c r="AB9" s="1" t="str">
        <f>IFERROR(VLOOKUP($A9,[45]!Table1[#All],2,0),"-")</f>
        <v>-</v>
      </c>
      <c r="AC9" s="14" t="str">
        <f>IFERROR(VLOOKUP($A9,[45]!Table1[#All],3,0),"-")</f>
        <v>-</v>
      </c>
      <c r="AD9" s="1" t="str">
        <f>IFERROR(VLOOKUP($A9,[46]!Table1[#All],2,0),"-")</f>
        <v>-</v>
      </c>
      <c r="AE9" s="20" t="str">
        <f>IFERROR(VLOOKUP($A9,[46]!Table1[#All],3,0),"-")</f>
        <v>-</v>
      </c>
      <c r="AF9" s="1" t="str">
        <f>IFERROR(VLOOKUP($A9,[47]!Table1[#All],2,0),"-")</f>
        <v>-</v>
      </c>
      <c r="AG9" s="14" t="str">
        <f>IFERROR(VLOOKUP($A9,[47]!Table1[#All],3,0),"-")</f>
        <v>-</v>
      </c>
      <c r="AH9" s="1" t="str">
        <f>IFERROR(VLOOKUP($A9,[48]!Table1[#All],2,0),"-")</f>
        <v>-</v>
      </c>
      <c r="AI9" s="14" t="str">
        <f>IFERROR(VLOOKUP($A9,[48]!Table1[#All],3,0),"-")</f>
        <v>-</v>
      </c>
      <c r="AJ9" s="1" t="str">
        <f>IFERROR(VLOOKUP($A9,[49]!Table1[#All],2,0),"-")</f>
        <v>-</v>
      </c>
      <c r="AK9" s="14" t="str">
        <f>IFERROR(VLOOKUP($A9,[49]!Table1[#All],3,0),"-")</f>
        <v>-</v>
      </c>
      <c r="AL9" s="1" t="str">
        <f>IFERROR(VLOOKUP($A9,[50]!Table1[#All],2,0),"-")</f>
        <v>-</v>
      </c>
      <c r="AM9" s="14" t="str">
        <f>IFERROR(VLOOKUP($A9,[50]!Table1[#All],3,0),"-")</f>
        <v>-</v>
      </c>
      <c r="AN9" s="1" t="str">
        <f>IFERROR(VLOOKUP($A9,[51]!Table1[#All],2,0),"-")</f>
        <v>-</v>
      </c>
      <c r="AO9" s="14" t="str">
        <f>IFERROR(VLOOKUP($A9,[51]!Table1[#All],3,0),"-")</f>
        <v>-</v>
      </c>
      <c r="AP9" s="1" t="str">
        <f>IFERROR(VLOOKUP($A9,[52]!Table1[#All],2,0),"-")</f>
        <v>-</v>
      </c>
      <c r="AQ9" s="14" t="str">
        <f>IFERROR(VLOOKUP($A9,[52]!Table1[#All],3,0),"-")</f>
        <v>-</v>
      </c>
      <c r="AR9" s="1" t="str">
        <f>IFERROR(VLOOKUP($A9,[53]!Table1[#All],2,0),"-")</f>
        <v>-</v>
      </c>
      <c r="AS9" s="14" t="str">
        <f>IFERROR(VLOOKUP($A9,[53]!Table1[#All],3,0),"-")</f>
        <v>-</v>
      </c>
      <c r="AT9" s="1" t="str">
        <f>IFERROR(VLOOKUP($A9,[54]!Table1[#All],2,0),"-")</f>
        <v>-</v>
      </c>
      <c r="AU9" s="14" t="str">
        <f>IFERROR(VLOOKUP($A9,[54]!Table1[#All],3,0),"-")</f>
        <v>-</v>
      </c>
      <c r="AV9" s="1" t="str">
        <f>IFERROR(VLOOKUP($A9,[55]!Table1[#All],2,0),"-")</f>
        <v>-</v>
      </c>
      <c r="AW9" s="14" t="str">
        <f>IFERROR(VLOOKUP($A9,[55]!Table1[#All],3,0),"-")</f>
        <v>-</v>
      </c>
      <c r="AX9" s="1" t="str">
        <f>IFERROR(VLOOKUP($A9,[56]!Table1[#All],2,0),"-")</f>
        <v>-</v>
      </c>
      <c r="AY9" s="14" t="str">
        <f>IFERROR(VLOOKUP($A9,[56]!Table1[#All],3,0),"-")</f>
        <v>-</v>
      </c>
      <c r="AZ9" s="1" t="str">
        <f>IFERROR(VLOOKUP($A9,[57]!Table1[#All],2,0),"-")</f>
        <v>-</v>
      </c>
      <c r="BA9" s="14" t="str">
        <f>IFERROR(VLOOKUP($A9,[57]!Table1[#All],3,0),"-")</f>
        <v>-</v>
      </c>
      <c r="BB9" s="1" t="str">
        <f>IFERROR(VLOOKUP($A9,[58]!Table1[#All],2,0),"-")</f>
        <v>-</v>
      </c>
      <c r="BC9" s="14" t="str">
        <f>IFERROR(VLOOKUP($A9,[58]!Table1[#All],3,0),"-")</f>
        <v>-</v>
      </c>
      <c r="BD9" s="1" t="str">
        <f>IFERROR(VLOOKUP($A9,[59]!Table1[#All],2,0),"-")</f>
        <v>-</v>
      </c>
      <c r="BE9" s="14" t="str">
        <f>IFERROR(VLOOKUP($A9,[59]!Table1[#All],3,0),"-")</f>
        <v>-</v>
      </c>
      <c r="BF9" s="1" t="str">
        <f>IFERROR(VLOOKUP($A9,[60]!Table1[#All],2,0),"-")</f>
        <v>-</v>
      </c>
      <c r="BG9" s="14" t="str">
        <f>IFERROR(VLOOKUP($A9,[60]!Table1[#All],3,0),"-")</f>
        <v>-</v>
      </c>
      <c r="BH9" s="1" t="str">
        <f>IFERROR(VLOOKUP($A9,[61]!Table1[#All],2,0),"-")</f>
        <v>-</v>
      </c>
      <c r="BI9" s="14" t="str">
        <f>IFERROR(VLOOKUP($A9,[61]!Table1[#All],3,0),"-")</f>
        <v>-</v>
      </c>
      <c r="BJ9" s="1" t="str">
        <f>IFERROR(VLOOKUP($A9,[62]!Table1[#All],2,0),"-")</f>
        <v>-</v>
      </c>
      <c r="BK9" s="14" t="str">
        <f>IFERROR(VLOOKUP($A9,[62]!Table1[#All],3,0),"-")</f>
        <v>-</v>
      </c>
      <c r="BL9" s="11">
        <f t="shared" si="27"/>
        <v>0</v>
      </c>
      <c r="BM9" s="22">
        <f t="shared" si="28"/>
        <v>0</v>
      </c>
    </row>
    <row r="10" spans="1:65" x14ac:dyDescent="0.2">
      <c r="A10" s="13" t="s">
        <v>19</v>
      </c>
      <c r="B10" s="1" t="str">
        <f>IFERROR(VLOOKUP($A10,[32]!Table1[#All],2,0),"-")</f>
        <v>-</v>
      </c>
      <c r="C10" s="14" t="str">
        <f>IFERROR(VLOOKUP($A10,[32]!Table1[#All],3,0),"-")</f>
        <v>-</v>
      </c>
      <c r="D10" s="1" t="str">
        <f>IFERROR(VLOOKUP($A10,[33]!Table1[#All],2,0),"-")</f>
        <v>-</v>
      </c>
      <c r="E10" s="3" t="str">
        <f>IFERROR(VLOOKUP($A10,[33]!Table1[#All],3,0),"-")</f>
        <v>-</v>
      </c>
      <c r="F10" s="1" t="str">
        <f>IFERROR(VLOOKUP($A10,[34]!Table2[#All],2,0),"-")</f>
        <v>-</v>
      </c>
      <c r="G10" s="14" t="str">
        <f>IFERROR(VLOOKUP($A10,[34]!Table2[#All],3,0),"-")</f>
        <v>-</v>
      </c>
      <c r="H10" s="1" t="str">
        <f>IFERROR(VLOOKUP($A10,[35]!Table1[#All],2,0),"-")</f>
        <v>-</v>
      </c>
      <c r="I10" s="14" t="str">
        <f>IFERROR(VLOOKUP($A10,[35]!Table1[#All],3,0),"-")</f>
        <v>-</v>
      </c>
      <c r="J10" s="1" t="str">
        <f>IFERROR(VLOOKUP($A10,[36]!Table1[#All],2,0),"-")</f>
        <v>-</v>
      </c>
      <c r="K10" s="14" t="str">
        <f>IFERROR(VLOOKUP($A10,[36]!Table1[#All],3,0),"-")</f>
        <v>-</v>
      </c>
      <c r="L10" s="1" t="str">
        <f>IFERROR(VLOOKUP($A10,[37]!Table1[#All],2,0),"-")</f>
        <v>-</v>
      </c>
      <c r="M10" s="20" t="str">
        <f>IFERROR(VLOOKUP($A10,[37]!Table1[#All],3,0),"-")</f>
        <v>-</v>
      </c>
      <c r="N10" s="1" t="str">
        <f>IFERROR(VLOOKUP($A10,[38]!Table1[#All],2,0),"-")</f>
        <v>-</v>
      </c>
      <c r="O10" s="14" t="str">
        <f>IFERROR(VLOOKUP($A10,[38]!Table1[#All],3,0),"-")</f>
        <v>-</v>
      </c>
      <c r="P10" s="1" t="str">
        <f>IFERROR(VLOOKUP($A10,[39]!Table1[#All],2,0),"-")</f>
        <v>-</v>
      </c>
      <c r="Q10" s="14" t="str">
        <f>IFERROR(VLOOKUP($A10,[39]!Table1[#All],3,0),"-")</f>
        <v>-</v>
      </c>
      <c r="R10" s="1" t="str">
        <f>IFERROR(VLOOKUP($A10,[40]!Table1[#All],2,0),"-")</f>
        <v>-</v>
      </c>
      <c r="S10" s="14" t="str">
        <f>IFERROR(VLOOKUP($A10,[40]!Table1[#All],3,0),"-")</f>
        <v>-</v>
      </c>
      <c r="T10" s="1" t="str">
        <f>IFERROR(VLOOKUP($A10,[41]!Table1[#All],2,0),"-")</f>
        <v>-</v>
      </c>
      <c r="U10" s="14" t="str">
        <f>IFERROR(VLOOKUP($A10,[41]!Table1[#All],3,0),"-")</f>
        <v>-</v>
      </c>
      <c r="V10" s="1" t="str">
        <f>IFERROR(VLOOKUP($A10,[42]!Table1[#All],2,0),"-")</f>
        <v>-</v>
      </c>
      <c r="W10" s="14" t="str">
        <f>IFERROR(VLOOKUP($A10,[42]!Table1[#All],3,0),"-")</f>
        <v>-</v>
      </c>
      <c r="X10" s="1" t="str">
        <f>IFERROR(VLOOKUP($A10,[43]!Table1[#All],2,0),"-")</f>
        <v>-</v>
      </c>
      <c r="Y10" s="14" t="str">
        <f>IFERROR(VLOOKUP($A10,[43]!Table1[#All],3,0),"-")</f>
        <v>-</v>
      </c>
      <c r="Z10" s="1" t="str">
        <f>IFERROR(VLOOKUP($A10,[44]!Table1[#All],2,0),"-")</f>
        <v>-</v>
      </c>
      <c r="AA10" s="14" t="str">
        <f>IFERROR(VLOOKUP($A10,[44]!Table1[#All],3,0),"-")</f>
        <v>-</v>
      </c>
      <c r="AB10" s="1" t="str">
        <f>IFERROR(VLOOKUP($A10,[45]!Table1[#All],2,0),"-")</f>
        <v>-</v>
      </c>
      <c r="AC10" s="14" t="str">
        <f>IFERROR(VLOOKUP($A10,[45]!Table1[#All],3,0),"-")</f>
        <v>-</v>
      </c>
      <c r="AD10" s="1" t="str">
        <f>IFERROR(VLOOKUP($A10,[46]!Table1[#All],2,0),"-")</f>
        <v>-</v>
      </c>
      <c r="AE10" s="20" t="str">
        <f>IFERROR(VLOOKUP($A10,[46]!Table1[#All],3,0),"-")</f>
        <v>-</v>
      </c>
      <c r="AF10" s="1" t="str">
        <f>IFERROR(VLOOKUP($A10,[47]!Table1[#All],2,0),"-")</f>
        <v>-</v>
      </c>
      <c r="AG10" s="14" t="str">
        <f>IFERROR(VLOOKUP($A10,[47]!Table1[#All],3,0),"-")</f>
        <v>-</v>
      </c>
      <c r="AH10" s="1" t="str">
        <f>IFERROR(VLOOKUP($A10,[48]!Table1[#All],2,0),"-")</f>
        <v>-</v>
      </c>
      <c r="AI10" s="14" t="str">
        <f>IFERROR(VLOOKUP($A10,[48]!Table1[#All],3,0),"-")</f>
        <v>-</v>
      </c>
      <c r="AJ10" s="1" t="str">
        <f>IFERROR(VLOOKUP($A10,[49]!Table1[#All],2,0),"-")</f>
        <v>-</v>
      </c>
      <c r="AK10" s="14" t="str">
        <f>IFERROR(VLOOKUP($A10,[49]!Table1[#All],3,0),"-")</f>
        <v>-</v>
      </c>
      <c r="AL10" s="1" t="str">
        <f>IFERROR(VLOOKUP($A10,[50]!Table1[#All],2,0),"-")</f>
        <v>-</v>
      </c>
      <c r="AM10" s="14" t="str">
        <f>IFERROR(VLOOKUP($A10,[50]!Table1[#All],3,0),"-")</f>
        <v>-</v>
      </c>
      <c r="AN10" s="1" t="str">
        <f>IFERROR(VLOOKUP($A10,[51]!Table1[#All],2,0),"-")</f>
        <v>-</v>
      </c>
      <c r="AO10" s="14" t="str">
        <f>IFERROR(VLOOKUP($A10,[51]!Table1[#All],3,0),"-")</f>
        <v>-</v>
      </c>
      <c r="AP10" s="1" t="str">
        <f>IFERROR(VLOOKUP($A10,[52]!Table1[#All],2,0),"-")</f>
        <v>-</v>
      </c>
      <c r="AQ10" s="14" t="str">
        <f>IFERROR(VLOOKUP($A10,[52]!Table1[#All],3,0),"-")</f>
        <v>-</v>
      </c>
      <c r="AR10" s="1" t="str">
        <f>IFERROR(VLOOKUP($A10,[53]!Table1[#All],2,0),"-")</f>
        <v>-</v>
      </c>
      <c r="AS10" s="14" t="str">
        <f>IFERROR(VLOOKUP($A10,[53]!Table1[#All],3,0),"-")</f>
        <v>-</v>
      </c>
      <c r="AT10" s="1" t="str">
        <f>IFERROR(VLOOKUP($A10,[54]!Table1[#All],2,0),"-")</f>
        <v>-</v>
      </c>
      <c r="AU10" s="14" t="str">
        <f>IFERROR(VLOOKUP($A10,[54]!Table1[#All],3,0),"-")</f>
        <v>-</v>
      </c>
      <c r="AV10" s="1" t="str">
        <f>IFERROR(VLOOKUP($A10,[55]!Table1[#All],2,0),"-")</f>
        <v>-</v>
      </c>
      <c r="AW10" s="14" t="str">
        <f>IFERROR(VLOOKUP($A10,[55]!Table1[#All],3,0),"-")</f>
        <v>-</v>
      </c>
      <c r="AX10" s="1" t="str">
        <f>IFERROR(VLOOKUP($A10,[56]!Table1[#All],2,0),"-")</f>
        <v>-</v>
      </c>
      <c r="AY10" s="14" t="str">
        <f>IFERROR(VLOOKUP($A10,[56]!Table1[#All],3,0),"-")</f>
        <v>-</v>
      </c>
      <c r="AZ10" s="1" t="str">
        <f>IFERROR(VLOOKUP($A10,[57]!Table1[#All],2,0),"-")</f>
        <v>-</v>
      </c>
      <c r="BA10" s="14" t="str">
        <f>IFERROR(VLOOKUP($A10,[57]!Table1[#All],3,0),"-")</f>
        <v>-</v>
      </c>
      <c r="BB10" s="1" t="str">
        <f>IFERROR(VLOOKUP($A10,[58]!Table1[#All],2,0),"-")</f>
        <v>-</v>
      </c>
      <c r="BC10" s="14" t="str">
        <f>IFERROR(VLOOKUP($A10,[58]!Table1[#All],3,0),"-")</f>
        <v>-</v>
      </c>
      <c r="BD10" s="1" t="str">
        <f>IFERROR(VLOOKUP($A10,[59]!Table1[#All],2,0),"-")</f>
        <v>-</v>
      </c>
      <c r="BE10" s="14" t="str">
        <f>IFERROR(VLOOKUP($A10,[59]!Table1[#All],3,0),"-")</f>
        <v>-</v>
      </c>
      <c r="BF10" s="1" t="str">
        <f>IFERROR(VLOOKUP($A10,[60]!Table1[#All],2,0),"-")</f>
        <v>-</v>
      </c>
      <c r="BG10" s="14" t="str">
        <f>IFERROR(VLOOKUP($A10,[60]!Table1[#All],3,0),"-")</f>
        <v>-</v>
      </c>
      <c r="BH10" s="1" t="str">
        <f>IFERROR(VLOOKUP($A10,[61]!Table1[#All],2,0),"-")</f>
        <v>-</v>
      </c>
      <c r="BI10" s="14" t="str">
        <f>IFERROR(VLOOKUP($A10,[61]!Table1[#All],3,0),"-")</f>
        <v>-</v>
      </c>
      <c r="BJ10" s="1" t="str">
        <f>IFERROR(VLOOKUP($A10,[62]!Table1[#All],2,0),"-")</f>
        <v>-</v>
      </c>
      <c r="BK10" s="14" t="str">
        <f>IFERROR(VLOOKUP($A10,[62]!Table1[#All],3,0),"-")</f>
        <v>-</v>
      </c>
      <c r="BL10" s="11">
        <f t="shared" si="27"/>
        <v>0</v>
      </c>
      <c r="BM10" s="22">
        <f t="shared" si="28"/>
        <v>0</v>
      </c>
    </row>
    <row r="11" spans="1:65" x14ac:dyDescent="0.2">
      <c r="A11" s="13" t="s">
        <v>13</v>
      </c>
      <c r="B11" s="1" t="str">
        <f>IFERROR(VLOOKUP($A11,[32]!Table1[#All],2,0),"-")</f>
        <v>-</v>
      </c>
      <c r="C11" s="14" t="str">
        <f>IFERROR(VLOOKUP($A11,[32]!Table1[#All],3,0),"-")</f>
        <v>-</v>
      </c>
      <c r="D11" s="1" t="str">
        <f>IFERROR(VLOOKUP($A11,[33]!Table1[#All],2,0),"-")</f>
        <v>-</v>
      </c>
      <c r="E11" s="3" t="str">
        <f>IFERROR(VLOOKUP($A11,[33]!Table1[#All],3,0),"-")</f>
        <v>-</v>
      </c>
      <c r="F11" s="1" t="str">
        <f>IFERROR(VLOOKUP($A11,[34]!Table2[#All],2,0),"-")</f>
        <v>-</v>
      </c>
      <c r="G11" s="14" t="str">
        <f>IFERROR(VLOOKUP($A11,[34]!Table2[#All],3,0),"-")</f>
        <v>-</v>
      </c>
      <c r="H11" s="1" t="str">
        <f>IFERROR(VLOOKUP($A11,[35]!Table1[#All],2,0),"-")</f>
        <v>-</v>
      </c>
      <c r="I11" s="14" t="str">
        <f>IFERROR(VLOOKUP($A11,[35]!Table1[#All],3,0),"-")</f>
        <v>-</v>
      </c>
      <c r="J11" s="1" t="str">
        <f>IFERROR(VLOOKUP($A11,[36]!Table1[#All],2,0),"-")</f>
        <v>-</v>
      </c>
      <c r="K11" s="14" t="str">
        <f>IFERROR(VLOOKUP($A11,[36]!Table1[#All],3,0),"-")</f>
        <v>-</v>
      </c>
      <c r="L11" s="1" t="str">
        <f>IFERROR(VLOOKUP($A11,[37]!Table1[#All],2,0),"-")</f>
        <v>-</v>
      </c>
      <c r="M11" s="20" t="str">
        <f>IFERROR(VLOOKUP($A11,[37]!Table1[#All],3,0),"-")</f>
        <v>-</v>
      </c>
      <c r="N11" s="1" t="str">
        <f>IFERROR(VLOOKUP($A11,[38]!Table1[#All],2,0),"-")</f>
        <v>-</v>
      </c>
      <c r="O11" s="14" t="str">
        <f>IFERROR(VLOOKUP($A11,[38]!Table1[#All],3,0),"-")</f>
        <v>-</v>
      </c>
      <c r="P11" s="1" t="str">
        <f>IFERROR(VLOOKUP($A11,[39]!Table1[#All],2,0),"-")</f>
        <v>-</v>
      </c>
      <c r="Q11" s="14" t="str">
        <f>IFERROR(VLOOKUP($A11,[39]!Table1[#All],3,0),"-")</f>
        <v>-</v>
      </c>
      <c r="R11" s="1" t="str">
        <f>IFERROR(VLOOKUP($A11,[40]!Table1[#All],2,0),"-")</f>
        <v>-</v>
      </c>
      <c r="S11" s="14" t="str">
        <f>IFERROR(VLOOKUP($A11,[40]!Table1[#All],3,0),"-")</f>
        <v>-</v>
      </c>
      <c r="T11" s="1" t="str">
        <f>IFERROR(VLOOKUP($A11,[41]!Table1[#All],2,0),"-")</f>
        <v>-</v>
      </c>
      <c r="U11" s="14" t="str">
        <f>IFERROR(VLOOKUP($A11,[41]!Table1[#All],3,0),"-")</f>
        <v>-</v>
      </c>
      <c r="V11" s="1" t="str">
        <f>IFERROR(VLOOKUP($A11,[42]!Table1[#All],2,0),"-")</f>
        <v>-</v>
      </c>
      <c r="W11" s="14" t="str">
        <f>IFERROR(VLOOKUP($A11,[42]!Table1[#All],3,0),"-")</f>
        <v>-</v>
      </c>
      <c r="X11" s="1" t="str">
        <f>IFERROR(VLOOKUP($A11,[43]!Table1[#All],2,0),"-")</f>
        <v>-</v>
      </c>
      <c r="Y11" s="14" t="str">
        <f>IFERROR(VLOOKUP($A11,[43]!Table1[#All],3,0),"-")</f>
        <v>-</v>
      </c>
      <c r="Z11" s="1" t="str">
        <f>IFERROR(VLOOKUP($A11,[44]!Table1[#All],2,0),"-")</f>
        <v>-</v>
      </c>
      <c r="AA11" s="14" t="str">
        <f>IFERROR(VLOOKUP($A11,[44]!Table1[#All],3,0),"-")</f>
        <v>-</v>
      </c>
      <c r="AB11" s="1" t="str">
        <f>IFERROR(VLOOKUP($A11,[45]!Table1[#All],2,0),"-")</f>
        <v>-</v>
      </c>
      <c r="AC11" s="14" t="str">
        <f>IFERROR(VLOOKUP($A11,[45]!Table1[#All],3,0),"-")</f>
        <v>-</v>
      </c>
      <c r="AD11" s="1" t="str">
        <f>IFERROR(VLOOKUP($A11,[46]!Table1[#All],2,0),"-")</f>
        <v>-</v>
      </c>
      <c r="AE11" s="20" t="str">
        <f>IFERROR(VLOOKUP($A11,[46]!Table1[#All],3,0),"-")</f>
        <v>-</v>
      </c>
      <c r="AF11" s="1" t="str">
        <f>IFERROR(VLOOKUP($A11,[47]!Table1[#All],2,0),"-")</f>
        <v>-</v>
      </c>
      <c r="AG11" s="14" t="str">
        <f>IFERROR(VLOOKUP($A11,[47]!Table1[#All],3,0),"-")</f>
        <v>-</v>
      </c>
      <c r="AH11" s="1" t="str">
        <f>IFERROR(VLOOKUP($A11,[48]!Table1[#All],2,0),"-")</f>
        <v>-</v>
      </c>
      <c r="AI11" s="14" t="str">
        <f>IFERROR(VLOOKUP($A11,[48]!Table1[#All],3,0),"-")</f>
        <v>-</v>
      </c>
      <c r="AJ11" s="1" t="str">
        <f>IFERROR(VLOOKUP($A11,[49]!Table1[#All],2,0),"-")</f>
        <v>-</v>
      </c>
      <c r="AK11" s="14" t="str">
        <f>IFERROR(VLOOKUP($A11,[49]!Table1[#All],3,0),"-")</f>
        <v>-</v>
      </c>
      <c r="AL11" s="1" t="str">
        <f>IFERROR(VLOOKUP($A11,[50]!Table1[#All],2,0),"-")</f>
        <v>-</v>
      </c>
      <c r="AM11" s="14" t="str">
        <f>IFERROR(VLOOKUP($A11,[50]!Table1[#All],3,0),"-")</f>
        <v>-</v>
      </c>
      <c r="AN11" s="1" t="str">
        <f>IFERROR(VLOOKUP($A11,[51]!Table1[#All],2,0),"-")</f>
        <v>-</v>
      </c>
      <c r="AO11" s="14" t="str">
        <f>IFERROR(VLOOKUP($A11,[51]!Table1[#All],3,0),"-")</f>
        <v>-</v>
      </c>
      <c r="AP11" s="1" t="str">
        <f>IFERROR(VLOOKUP($A11,[52]!Table1[#All],2,0),"-")</f>
        <v>-</v>
      </c>
      <c r="AQ11" s="14" t="str">
        <f>IFERROR(VLOOKUP($A11,[52]!Table1[#All],3,0),"-")</f>
        <v>-</v>
      </c>
      <c r="AR11" s="1" t="str">
        <f>IFERROR(VLOOKUP($A11,[53]!Table1[#All],2,0),"-")</f>
        <v>-</v>
      </c>
      <c r="AS11" s="14" t="str">
        <f>IFERROR(VLOOKUP($A11,[53]!Table1[#All],3,0),"-")</f>
        <v>-</v>
      </c>
      <c r="AT11" s="1" t="str">
        <f>IFERROR(VLOOKUP($A11,[54]!Table1[#All],2,0),"-")</f>
        <v>-</v>
      </c>
      <c r="AU11" s="14" t="str">
        <f>IFERROR(VLOOKUP($A11,[54]!Table1[#All],3,0),"-")</f>
        <v>-</v>
      </c>
      <c r="AV11" s="1" t="str">
        <f>IFERROR(VLOOKUP($A11,[55]!Table1[#All],2,0),"-")</f>
        <v>-</v>
      </c>
      <c r="AW11" s="14" t="str">
        <f>IFERROR(VLOOKUP($A11,[55]!Table1[#All],3,0),"-")</f>
        <v>-</v>
      </c>
      <c r="AX11" s="1" t="str">
        <f>IFERROR(VLOOKUP($A11,[56]!Table1[#All],2,0),"-")</f>
        <v>-</v>
      </c>
      <c r="AY11" s="14" t="str">
        <f>IFERROR(VLOOKUP($A11,[56]!Table1[#All],3,0),"-")</f>
        <v>-</v>
      </c>
      <c r="AZ11" s="1" t="str">
        <f>IFERROR(VLOOKUP($A11,[57]!Table1[#All],2,0),"-")</f>
        <v>-</v>
      </c>
      <c r="BA11" s="14" t="str">
        <f>IFERROR(VLOOKUP($A11,[57]!Table1[#All],3,0),"-")</f>
        <v>-</v>
      </c>
      <c r="BB11" s="1" t="str">
        <f>IFERROR(VLOOKUP($A11,[58]!Table1[#All],2,0),"-")</f>
        <v>-</v>
      </c>
      <c r="BC11" s="14" t="str">
        <f>IFERROR(VLOOKUP($A11,[58]!Table1[#All],3,0),"-")</f>
        <v>-</v>
      </c>
      <c r="BD11" s="1" t="str">
        <f>IFERROR(VLOOKUP($A11,[59]!Table1[#All],2,0),"-")</f>
        <v>-</v>
      </c>
      <c r="BE11" s="14" t="str">
        <f>IFERROR(VLOOKUP($A11,[59]!Table1[#All],3,0),"-")</f>
        <v>-</v>
      </c>
      <c r="BF11" s="1" t="str">
        <f>IFERROR(VLOOKUP($A11,[60]!Table1[#All],2,0),"-")</f>
        <v>-</v>
      </c>
      <c r="BG11" s="14" t="str">
        <f>IFERROR(VLOOKUP($A11,[60]!Table1[#All],3,0),"-")</f>
        <v>-</v>
      </c>
      <c r="BH11" s="1" t="str">
        <f>IFERROR(VLOOKUP($A11,[61]!Table1[#All],2,0),"-")</f>
        <v>-</v>
      </c>
      <c r="BI11" s="14" t="str">
        <f>IFERROR(VLOOKUP($A11,[61]!Table1[#All],3,0),"-")</f>
        <v>-</v>
      </c>
      <c r="BJ11" s="1" t="str">
        <f>IFERROR(VLOOKUP($A11,[62]!Table1[#All],2,0),"-")</f>
        <v>-</v>
      </c>
      <c r="BK11" s="14" t="str">
        <f>IFERROR(VLOOKUP($A11,[62]!Table1[#All],3,0),"-")</f>
        <v>-</v>
      </c>
      <c r="BL11" s="11">
        <f t="shared" si="27"/>
        <v>0</v>
      </c>
      <c r="BM11" s="22">
        <f t="shared" si="28"/>
        <v>0</v>
      </c>
    </row>
    <row r="12" spans="1:65" x14ac:dyDescent="0.2">
      <c r="A12" s="13" t="s">
        <v>6</v>
      </c>
      <c r="B12" s="1" t="str">
        <f>IFERROR(VLOOKUP($A12,[32]!Table1[#All],2,0),"-")</f>
        <v>-</v>
      </c>
      <c r="C12" s="14" t="str">
        <f>IFERROR(VLOOKUP($A12,[32]!Table1[#All],3,0),"-")</f>
        <v>-</v>
      </c>
      <c r="D12" s="1" t="str">
        <f>IFERROR(VLOOKUP($A12,[33]!Table1[#All],2,0),"-")</f>
        <v>-</v>
      </c>
      <c r="E12" s="3" t="str">
        <f>IFERROR(VLOOKUP($A12,[33]!Table1[#All],3,0),"-")</f>
        <v>-</v>
      </c>
      <c r="F12" s="1" t="str">
        <f>IFERROR(VLOOKUP($A12,[34]!Table2[#All],2,0),"-")</f>
        <v>-</v>
      </c>
      <c r="G12" s="14" t="str">
        <f>IFERROR(VLOOKUP($A12,[34]!Table2[#All],3,0),"-")</f>
        <v>-</v>
      </c>
      <c r="H12" s="1" t="str">
        <f>IFERROR(VLOOKUP($A12,[35]!Table1[#All],2,0),"-")</f>
        <v>-</v>
      </c>
      <c r="I12" s="14" t="str">
        <f>IFERROR(VLOOKUP($A12,[35]!Table1[#All],3,0),"-")</f>
        <v>-</v>
      </c>
      <c r="J12" s="1" t="str">
        <f>IFERROR(VLOOKUP($A12,[36]!Table1[#All],2,0),"-")</f>
        <v>-</v>
      </c>
      <c r="K12" s="14" t="str">
        <f>IFERROR(VLOOKUP($A12,[36]!Table1[#All],3,0),"-")</f>
        <v>-</v>
      </c>
      <c r="L12" s="1" t="str">
        <f>IFERROR(VLOOKUP($A12,[37]!Table1[#All],2,0),"-")</f>
        <v>-</v>
      </c>
      <c r="M12" s="20" t="str">
        <f>IFERROR(VLOOKUP($A12,[37]!Table1[#All],3,0),"-")</f>
        <v>-</v>
      </c>
      <c r="N12" s="1" t="str">
        <f>IFERROR(VLOOKUP($A12,[38]!Table1[#All],2,0),"-")</f>
        <v>-</v>
      </c>
      <c r="O12" s="14" t="str">
        <f>IFERROR(VLOOKUP($A12,[38]!Table1[#All],3,0),"-")</f>
        <v>-</v>
      </c>
      <c r="P12" s="1" t="str">
        <f>IFERROR(VLOOKUP($A12,[39]!Table1[#All],2,0),"-")</f>
        <v>-</v>
      </c>
      <c r="Q12" s="14" t="str">
        <f>IFERROR(VLOOKUP($A12,[39]!Table1[#All],3,0),"-")</f>
        <v>-</v>
      </c>
      <c r="R12" s="1" t="str">
        <f>IFERROR(VLOOKUP($A12,[40]!Table1[#All],2,0),"-")</f>
        <v>-</v>
      </c>
      <c r="S12" s="14" t="str">
        <f>IFERROR(VLOOKUP($A12,[40]!Table1[#All],3,0),"-")</f>
        <v>-</v>
      </c>
      <c r="T12" s="1" t="str">
        <f>IFERROR(VLOOKUP($A12,[41]!Table1[#All],2,0),"-")</f>
        <v>-</v>
      </c>
      <c r="U12" s="14" t="str">
        <f>IFERROR(VLOOKUP($A12,[41]!Table1[#All],3,0),"-")</f>
        <v>-</v>
      </c>
      <c r="V12" s="1" t="str">
        <f>IFERROR(VLOOKUP($A12,[42]!Table1[#All],2,0),"-")</f>
        <v>-</v>
      </c>
      <c r="W12" s="14" t="str">
        <f>IFERROR(VLOOKUP($A12,[42]!Table1[#All],3,0),"-")</f>
        <v>-</v>
      </c>
      <c r="X12" s="1" t="str">
        <f>IFERROR(VLOOKUP($A12,[43]!Table1[#All],2,0),"-")</f>
        <v>-</v>
      </c>
      <c r="Y12" s="14" t="str">
        <f>IFERROR(VLOOKUP($A12,[43]!Table1[#All],3,0),"-")</f>
        <v>-</v>
      </c>
      <c r="Z12" s="1" t="str">
        <f>IFERROR(VLOOKUP($A12,[44]!Table1[#All],2,0),"-")</f>
        <v>-</v>
      </c>
      <c r="AA12" s="14" t="str">
        <f>IFERROR(VLOOKUP($A12,[44]!Table1[#All],3,0),"-")</f>
        <v>-</v>
      </c>
      <c r="AB12" s="1" t="str">
        <f>IFERROR(VLOOKUP($A12,[45]!Table1[#All],2,0),"-")</f>
        <v>-</v>
      </c>
      <c r="AC12" s="14" t="str">
        <f>IFERROR(VLOOKUP($A12,[45]!Table1[#All],3,0),"-")</f>
        <v>-</v>
      </c>
      <c r="AD12" s="1" t="str">
        <f>IFERROR(VLOOKUP($A12,[46]!Table1[#All],2,0),"-")</f>
        <v>-</v>
      </c>
      <c r="AE12" s="20" t="str">
        <f>IFERROR(VLOOKUP($A12,[46]!Table1[#All],3,0),"-")</f>
        <v>-</v>
      </c>
      <c r="AF12" s="1" t="str">
        <f>IFERROR(VLOOKUP($A12,[47]!Table1[#All],2,0),"-")</f>
        <v>-</v>
      </c>
      <c r="AG12" s="14" t="str">
        <f>IFERROR(VLOOKUP($A12,[47]!Table1[#All],3,0),"-")</f>
        <v>-</v>
      </c>
      <c r="AH12" s="1" t="str">
        <f>IFERROR(VLOOKUP($A12,[48]!Table1[#All],2,0),"-")</f>
        <v>-</v>
      </c>
      <c r="AI12" s="14" t="str">
        <f>IFERROR(VLOOKUP($A12,[48]!Table1[#All],3,0),"-")</f>
        <v>-</v>
      </c>
      <c r="AJ12" s="1" t="str">
        <f>IFERROR(VLOOKUP($A12,[49]!Table1[#All],2,0),"-")</f>
        <v>-</v>
      </c>
      <c r="AK12" s="14" t="str">
        <f>IFERROR(VLOOKUP($A12,[49]!Table1[#All],3,0),"-")</f>
        <v>-</v>
      </c>
      <c r="AL12" s="1" t="str">
        <f>IFERROR(VLOOKUP($A12,[50]!Table1[#All],2,0),"-")</f>
        <v>-</v>
      </c>
      <c r="AM12" s="14" t="str">
        <f>IFERROR(VLOOKUP($A12,[50]!Table1[#All],3,0),"-")</f>
        <v>-</v>
      </c>
      <c r="AN12" s="1" t="str">
        <f>IFERROR(VLOOKUP($A12,[51]!Table1[#All],2,0),"-")</f>
        <v>-</v>
      </c>
      <c r="AO12" s="14" t="str">
        <f>IFERROR(VLOOKUP($A12,[51]!Table1[#All],3,0),"-")</f>
        <v>-</v>
      </c>
      <c r="AP12" s="1" t="str">
        <f>IFERROR(VLOOKUP($A12,[52]!Table1[#All],2,0),"-")</f>
        <v>-</v>
      </c>
      <c r="AQ12" s="14" t="str">
        <f>IFERROR(VLOOKUP($A12,[52]!Table1[#All],3,0),"-")</f>
        <v>-</v>
      </c>
      <c r="AR12" s="1" t="str">
        <f>IFERROR(VLOOKUP($A12,[53]!Table1[#All],2,0),"-")</f>
        <v>-</v>
      </c>
      <c r="AS12" s="14" t="str">
        <f>IFERROR(VLOOKUP($A12,[53]!Table1[#All],3,0),"-")</f>
        <v>-</v>
      </c>
      <c r="AT12" s="1" t="str">
        <f>IFERROR(VLOOKUP($A12,[54]!Table1[#All],2,0),"-")</f>
        <v>-</v>
      </c>
      <c r="AU12" s="14" t="str">
        <f>IFERROR(VLOOKUP($A12,[54]!Table1[#All],3,0),"-")</f>
        <v>-</v>
      </c>
      <c r="AV12" s="1" t="str">
        <f>IFERROR(VLOOKUP($A12,[55]!Table1[#All],2,0),"-")</f>
        <v>-</v>
      </c>
      <c r="AW12" s="14" t="str">
        <f>IFERROR(VLOOKUP($A12,[55]!Table1[#All],3,0),"-")</f>
        <v>-</v>
      </c>
      <c r="AX12" s="1" t="str">
        <f>IFERROR(VLOOKUP($A12,[56]!Table1[#All],2,0),"-")</f>
        <v>-</v>
      </c>
      <c r="AY12" s="14" t="str">
        <f>IFERROR(VLOOKUP($A12,[56]!Table1[#All],3,0),"-")</f>
        <v>-</v>
      </c>
      <c r="AZ12" s="1" t="str">
        <f>IFERROR(VLOOKUP($A12,[57]!Table1[#All],2,0),"-")</f>
        <v>-</v>
      </c>
      <c r="BA12" s="14" t="str">
        <f>IFERROR(VLOOKUP($A12,[57]!Table1[#All],3,0),"-")</f>
        <v>-</v>
      </c>
      <c r="BB12" s="1" t="str">
        <f>IFERROR(VLOOKUP($A12,[58]!Table1[#All],2,0),"-")</f>
        <v>-</v>
      </c>
      <c r="BC12" s="14" t="str">
        <f>IFERROR(VLOOKUP($A12,[58]!Table1[#All],3,0),"-")</f>
        <v>-</v>
      </c>
      <c r="BD12" s="1" t="str">
        <f>IFERROR(VLOOKUP($A12,[59]!Table1[#All],2,0),"-")</f>
        <v>-</v>
      </c>
      <c r="BE12" s="14" t="str">
        <f>IFERROR(VLOOKUP($A12,[59]!Table1[#All],3,0),"-")</f>
        <v>-</v>
      </c>
      <c r="BF12" s="1" t="str">
        <f>IFERROR(VLOOKUP($A12,[60]!Table1[#All],2,0),"-")</f>
        <v>-</v>
      </c>
      <c r="BG12" s="14" t="str">
        <f>IFERROR(VLOOKUP($A12,[60]!Table1[#All],3,0),"-")</f>
        <v>-</v>
      </c>
      <c r="BH12" s="1" t="str">
        <f>IFERROR(VLOOKUP($A12,[61]!Table1[#All],2,0),"-")</f>
        <v>-</v>
      </c>
      <c r="BI12" s="14" t="str">
        <f>IFERROR(VLOOKUP($A12,[61]!Table1[#All],3,0),"-")</f>
        <v>-</v>
      </c>
      <c r="BJ12" s="1" t="str">
        <f>IFERROR(VLOOKUP($A12,[62]!Table1[#All],2,0),"-")</f>
        <v>-</v>
      </c>
      <c r="BK12" s="14" t="str">
        <f>IFERROR(VLOOKUP($A12,[62]!Table1[#All],3,0),"-")</f>
        <v>-</v>
      </c>
      <c r="BL12" s="11">
        <f t="shared" si="27"/>
        <v>0</v>
      </c>
      <c r="BM12" s="22">
        <f t="shared" si="28"/>
        <v>0</v>
      </c>
    </row>
    <row r="13" spans="1:65" x14ac:dyDescent="0.2">
      <c r="A13" s="13" t="s">
        <v>1</v>
      </c>
      <c r="B13" s="1" t="str">
        <f>IFERROR(VLOOKUP($A13,[32]!Table1[#All],2,0),"-")</f>
        <v>-</v>
      </c>
      <c r="C13" s="14" t="str">
        <f>IFERROR(VLOOKUP($A13,[32]!Table1[#All],3,0),"-")</f>
        <v>-</v>
      </c>
      <c r="D13" s="1" t="str">
        <f>IFERROR(VLOOKUP($A13,[33]!Table1[#All],2,0),"-")</f>
        <v>-</v>
      </c>
      <c r="E13" s="3" t="str">
        <f>IFERROR(VLOOKUP($A13,[33]!Table1[#All],3,0),"-")</f>
        <v>-</v>
      </c>
      <c r="F13" s="1" t="str">
        <f>IFERROR(VLOOKUP($A13,[34]!Table2[#All],2,0),"-")</f>
        <v>-</v>
      </c>
      <c r="G13" s="14" t="str">
        <f>IFERROR(VLOOKUP($A13,[34]!Table2[#All],3,0),"-")</f>
        <v>-</v>
      </c>
      <c r="H13" s="1" t="str">
        <f>IFERROR(VLOOKUP($A13,[35]!Table1[#All],2,0),"-")</f>
        <v>-</v>
      </c>
      <c r="I13" s="14" t="str">
        <f>IFERROR(VLOOKUP($A13,[35]!Table1[#All],3,0),"-")</f>
        <v>-</v>
      </c>
      <c r="J13" s="1" t="str">
        <f>IFERROR(VLOOKUP($A13,[36]!Table1[#All],2,0),"-")</f>
        <v>-</v>
      </c>
      <c r="K13" s="14" t="str">
        <f>IFERROR(VLOOKUP($A13,[36]!Table1[#All],3,0),"-")</f>
        <v>-</v>
      </c>
      <c r="L13" s="1" t="str">
        <f>IFERROR(VLOOKUP($A13,[37]!Table1[#All],2,0),"-")</f>
        <v>-</v>
      </c>
      <c r="M13" s="20" t="str">
        <f>IFERROR(VLOOKUP($A13,[37]!Table1[#All],3,0),"-")</f>
        <v>-</v>
      </c>
      <c r="N13" s="1" t="str">
        <f>IFERROR(VLOOKUP($A13,[38]!Table1[#All],2,0),"-")</f>
        <v>-</v>
      </c>
      <c r="O13" s="14" t="str">
        <f>IFERROR(VLOOKUP($A13,[38]!Table1[#All],3,0),"-")</f>
        <v>-</v>
      </c>
      <c r="P13" s="1" t="str">
        <f>IFERROR(VLOOKUP($A13,[39]!Table1[#All],2,0),"-")</f>
        <v>-</v>
      </c>
      <c r="Q13" s="14" t="str">
        <f>IFERROR(VLOOKUP($A13,[39]!Table1[#All],3,0),"-")</f>
        <v>-</v>
      </c>
      <c r="R13" s="1" t="str">
        <f>IFERROR(VLOOKUP($A13,[40]!Table1[#All],2,0),"-")</f>
        <v>-</v>
      </c>
      <c r="S13" s="14" t="str">
        <f>IFERROR(VLOOKUP($A13,[40]!Table1[#All],3,0),"-")</f>
        <v>-</v>
      </c>
      <c r="T13" s="1" t="str">
        <f>IFERROR(VLOOKUP($A13,[41]!Table1[#All],2,0),"-")</f>
        <v>-</v>
      </c>
      <c r="U13" s="14" t="str">
        <f>IFERROR(VLOOKUP($A13,[41]!Table1[#All],3,0),"-")</f>
        <v>-</v>
      </c>
      <c r="V13" s="1" t="str">
        <f>IFERROR(VLOOKUP($A13,[42]!Table1[#All],2,0),"-")</f>
        <v>-</v>
      </c>
      <c r="W13" s="14" t="str">
        <f>IFERROR(VLOOKUP($A13,[42]!Table1[#All],3,0),"-")</f>
        <v>-</v>
      </c>
      <c r="X13" s="1" t="str">
        <f>IFERROR(VLOOKUP($A13,[43]!Table1[#All],2,0),"-")</f>
        <v>-</v>
      </c>
      <c r="Y13" s="14" t="str">
        <f>IFERROR(VLOOKUP($A13,[43]!Table1[#All],3,0),"-")</f>
        <v>-</v>
      </c>
      <c r="Z13" s="1" t="str">
        <f>IFERROR(VLOOKUP($A13,[44]!Table1[#All],2,0),"-")</f>
        <v>-</v>
      </c>
      <c r="AA13" s="14" t="str">
        <f>IFERROR(VLOOKUP($A13,[44]!Table1[#All],3,0),"-")</f>
        <v>-</v>
      </c>
      <c r="AB13" s="1" t="str">
        <f>IFERROR(VLOOKUP($A13,[45]!Table1[#All],2,0),"-")</f>
        <v>-</v>
      </c>
      <c r="AC13" s="14" t="str">
        <f>IFERROR(VLOOKUP($A13,[45]!Table1[#All],3,0),"-")</f>
        <v>-</v>
      </c>
      <c r="AD13" s="1" t="str">
        <f>IFERROR(VLOOKUP($A13,[46]!Table1[#All],2,0),"-")</f>
        <v>-</v>
      </c>
      <c r="AE13" s="20" t="str">
        <f>IFERROR(VLOOKUP($A13,[46]!Table1[#All],3,0),"-")</f>
        <v>-</v>
      </c>
      <c r="AF13" s="1" t="str">
        <f>IFERROR(VLOOKUP($A13,[47]!Table1[#All],2,0),"-")</f>
        <v>-</v>
      </c>
      <c r="AG13" s="14" t="str">
        <f>IFERROR(VLOOKUP($A13,[47]!Table1[#All],3,0),"-")</f>
        <v>-</v>
      </c>
      <c r="AH13" s="1" t="str">
        <f>IFERROR(VLOOKUP($A13,[48]!Table1[#All],2,0),"-")</f>
        <v>-</v>
      </c>
      <c r="AI13" s="14" t="str">
        <f>IFERROR(VLOOKUP($A13,[48]!Table1[#All],3,0),"-")</f>
        <v>-</v>
      </c>
      <c r="AJ13" s="1" t="str">
        <f>IFERROR(VLOOKUP($A13,[49]!Table1[#All],2,0),"-")</f>
        <v>-</v>
      </c>
      <c r="AK13" s="14" t="str">
        <f>IFERROR(VLOOKUP($A13,[49]!Table1[#All],3,0),"-")</f>
        <v>-</v>
      </c>
      <c r="AL13" s="1" t="str">
        <f>IFERROR(VLOOKUP($A13,[50]!Table1[#All],2,0),"-")</f>
        <v>-</v>
      </c>
      <c r="AM13" s="14" t="str">
        <f>IFERROR(VLOOKUP($A13,[50]!Table1[#All],3,0),"-")</f>
        <v>-</v>
      </c>
      <c r="AN13" s="1" t="str">
        <f>IFERROR(VLOOKUP($A13,[51]!Table1[#All],2,0),"-")</f>
        <v>-</v>
      </c>
      <c r="AO13" s="14" t="str">
        <f>IFERROR(VLOOKUP($A13,[51]!Table1[#All],3,0),"-")</f>
        <v>-</v>
      </c>
      <c r="AP13" s="1" t="str">
        <f>IFERROR(VLOOKUP($A13,[52]!Table1[#All],2,0),"-")</f>
        <v>-</v>
      </c>
      <c r="AQ13" s="14" t="str">
        <f>IFERROR(VLOOKUP($A13,[52]!Table1[#All],3,0),"-")</f>
        <v>-</v>
      </c>
      <c r="AR13" s="1" t="str">
        <f>IFERROR(VLOOKUP($A13,[53]!Table1[#All],2,0),"-")</f>
        <v>-</v>
      </c>
      <c r="AS13" s="14" t="str">
        <f>IFERROR(VLOOKUP($A13,[53]!Table1[#All],3,0),"-")</f>
        <v>-</v>
      </c>
      <c r="AT13" s="1" t="str">
        <f>IFERROR(VLOOKUP($A13,[54]!Table1[#All],2,0),"-")</f>
        <v>-</v>
      </c>
      <c r="AU13" s="14" t="str">
        <f>IFERROR(VLOOKUP($A13,[54]!Table1[#All],3,0),"-")</f>
        <v>-</v>
      </c>
      <c r="AV13" s="1" t="str">
        <f>IFERROR(VLOOKUP($A13,[55]!Table1[#All],2,0),"-")</f>
        <v>-</v>
      </c>
      <c r="AW13" s="14" t="str">
        <f>IFERROR(VLOOKUP($A13,[55]!Table1[#All],3,0),"-")</f>
        <v>-</v>
      </c>
      <c r="AX13" s="1" t="str">
        <f>IFERROR(VLOOKUP($A13,[56]!Table1[#All],2,0),"-")</f>
        <v>-</v>
      </c>
      <c r="AY13" s="14" t="str">
        <f>IFERROR(VLOOKUP($A13,[56]!Table1[#All],3,0),"-")</f>
        <v>-</v>
      </c>
      <c r="AZ13" s="1" t="str">
        <f>IFERROR(VLOOKUP($A13,[57]!Table1[#All],2,0),"-")</f>
        <v>-</v>
      </c>
      <c r="BA13" s="14" t="str">
        <f>IFERROR(VLOOKUP($A13,[57]!Table1[#All],3,0),"-")</f>
        <v>-</v>
      </c>
      <c r="BB13" s="1" t="str">
        <f>IFERROR(VLOOKUP($A13,[58]!Table1[#All],2,0),"-")</f>
        <v>-</v>
      </c>
      <c r="BC13" s="14" t="str">
        <f>IFERROR(VLOOKUP($A13,[58]!Table1[#All],3,0),"-")</f>
        <v>-</v>
      </c>
      <c r="BD13" s="1" t="str">
        <f>IFERROR(VLOOKUP($A13,[59]!Table1[#All],2,0),"-")</f>
        <v>-</v>
      </c>
      <c r="BE13" s="14" t="str">
        <f>IFERROR(VLOOKUP($A13,[59]!Table1[#All],3,0),"-")</f>
        <v>-</v>
      </c>
      <c r="BF13" s="1" t="str">
        <f>IFERROR(VLOOKUP($A13,[60]!Table1[#All],2,0),"-")</f>
        <v>-</v>
      </c>
      <c r="BG13" s="14" t="str">
        <f>IFERROR(VLOOKUP($A13,[60]!Table1[#All],3,0),"-")</f>
        <v>-</v>
      </c>
      <c r="BH13" s="1" t="str">
        <f>IFERROR(VLOOKUP($A13,[61]!Table1[#All],2,0),"-")</f>
        <v>-</v>
      </c>
      <c r="BI13" s="14" t="str">
        <f>IFERROR(VLOOKUP($A13,[61]!Table1[#All],3,0),"-")</f>
        <v>-</v>
      </c>
      <c r="BJ13" s="1" t="str">
        <f>IFERROR(VLOOKUP($A13,[62]!Table1[#All],2,0),"-")</f>
        <v>-</v>
      </c>
      <c r="BK13" s="14" t="str">
        <f>IFERROR(VLOOKUP($A13,[62]!Table1[#All],3,0),"-")</f>
        <v>-</v>
      </c>
      <c r="BL13" s="11">
        <f t="shared" si="27"/>
        <v>0</v>
      </c>
      <c r="BM13" s="22">
        <f t="shared" si="28"/>
        <v>0</v>
      </c>
    </row>
    <row r="14" spans="1:65" x14ac:dyDescent="0.2">
      <c r="A14" s="13" t="s">
        <v>11</v>
      </c>
      <c r="B14" s="1" t="str">
        <f>IFERROR(VLOOKUP($A14,[32]!Table1[#All],2,0),"-")</f>
        <v>-</v>
      </c>
      <c r="C14" s="14" t="str">
        <f>IFERROR(VLOOKUP($A14,[32]!Table1[#All],3,0),"-")</f>
        <v>-</v>
      </c>
      <c r="D14" s="1" t="str">
        <f>IFERROR(VLOOKUP($A14,[33]!Table1[#All],2,0),"-")</f>
        <v>-</v>
      </c>
      <c r="E14" s="3" t="str">
        <f>IFERROR(VLOOKUP($A14,[33]!Table1[#All],3,0),"-")</f>
        <v>-</v>
      </c>
      <c r="F14" s="1" t="str">
        <f>IFERROR(VLOOKUP($A14,[34]!Table2[#All],2,0),"-")</f>
        <v>-</v>
      </c>
      <c r="G14" s="14" t="str">
        <f>IFERROR(VLOOKUP($A14,[34]!Table2[#All],3,0),"-")</f>
        <v>-</v>
      </c>
      <c r="H14" s="1" t="str">
        <f>IFERROR(VLOOKUP($A14,[35]!Table1[#All],2,0),"-")</f>
        <v>-</v>
      </c>
      <c r="I14" s="14" t="str">
        <f>IFERROR(VLOOKUP($A14,[35]!Table1[#All],3,0),"-")</f>
        <v>-</v>
      </c>
      <c r="J14" s="1" t="str">
        <f>IFERROR(VLOOKUP($A14,[36]!Table1[#All],2,0),"-")</f>
        <v>-</v>
      </c>
      <c r="K14" s="14" t="str">
        <f>IFERROR(VLOOKUP($A14,[36]!Table1[#All],3,0),"-")</f>
        <v>-</v>
      </c>
      <c r="L14" s="1" t="str">
        <f>IFERROR(VLOOKUP($A14,[37]!Table1[#All],2,0),"-")</f>
        <v>-</v>
      </c>
      <c r="M14" s="20" t="str">
        <f>IFERROR(VLOOKUP($A14,[37]!Table1[#All],3,0),"-")</f>
        <v>-</v>
      </c>
      <c r="N14" s="1" t="str">
        <f>IFERROR(VLOOKUP($A14,[38]!Table1[#All],2,0),"-")</f>
        <v>-</v>
      </c>
      <c r="O14" s="14" t="str">
        <f>IFERROR(VLOOKUP($A14,[38]!Table1[#All],3,0),"-")</f>
        <v>-</v>
      </c>
      <c r="P14" s="1" t="str">
        <f>IFERROR(VLOOKUP($A14,[39]!Table1[#All],2,0),"-")</f>
        <v>-</v>
      </c>
      <c r="Q14" s="14" t="str">
        <f>IFERROR(VLOOKUP($A14,[39]!Table1[#All],3,0),"-")</f>
        <v>-</v>
      </c>
      <c r="R14" s="1" t="str">
        <f>IFERROR(VLOOKUP($A14,[40]!Table1[#All],2,0),"-")</f>
        <v>-</v>
      </c>
      <c r="S14" s="14" t="str">
        <f>IFERROR(VLOOKUP($A14,[40]!Table1[#All],3,0),"-")</f>
        <v>-</v>
      </c>
      <c r="T14" s="1" t="str">
        <f>IFERROR(VLOOKUP($A14,[41]!Table1[#All],2,0),"-")</f>
        <v>-</v>
      </c>
      <c r="U14" s="14" t="str">
        <f>IFERROR(VLOOKUP($A14,[41]!Table1[#All],3,0),"-")</f>
        <v>-</v>
      </c>
      <c r="V14" s="1" t="str">
        <f>IFERROR(VLOOKUP($A14,[42]!Table1[#All],2,0),"-")</f>
        <v>-</v>
      </c>
      <c r="W14" s="14" t="str">
        <f>IFERROR(VLOOKUP($A14,[42]!Table1[#All],3,0),"-")</f>
        <v>-</v>
      </c>
      <c r="X14" s="1" t="str">
        <f>IFERROR(VLOOKUP($A14,[43]!Table1[#All],2,0),"-")</f>
        <v>-</v>
      </c>
      <c r="Y14" s="14" t="str">
        <f>IFERROR(VLOOKUP($A14,[43]!Table1[#All],3,0),"-")</f>
        <v>-</v>
      </c>
      <c r="Z14" s="1" t="str">
        <f>IFERROR(VLOOKUP($A14,[44]!Table1[#All],2,0),"-")</f>
        <v>-</v>
      </c>
      <c r="AA14" s="14" t="str">
        <f>IFERROR(VLOOKUP($A14,[44]!Table1[#All],3,0),"-")</f>
        <v>-</v>
      </c>
      <c r="AB14" s="1" t="str">
        <f>IFERROR(VLOOKUP($A14,[45]!Table1[#All],2,0),"-")</f>
        <v>-</v>
      </c>
      <c r="AC14" s="14" t="str">
        <f>IFERROR(VLOOKUP($A14,[45]!Table1[#All],3,0),"-")</f>
        <v>-</v>
      </c>
      <c r="AD14" s="1" t="str">
        <f>IFERROR(VLOOKUP($A14,[46]!Table1[#All],2,0),"-")</f>
        <v>-</v>
      </c>
      <c r="AE14" s="20" t="str">
        <f>IFERROR(VLOOKUP($A14,[46]!Table1[#All],3,0),"-")</f>
        <v>-</v>
      </c>
      <c r="AF14" s="1" t="str">
        <f>IFERROR(VLOOKUP($A14,[47]!Table1[#All],2,0),"-")</f>
        <v>-</v>
      </c>
      <c r="AG14" s="14" t="str">
        <f>IFERROR(VLOOKUP($A14,[47]!Table1[#All],3,0),"-")</f>
        <v>-</v>
      </c>
      <c r="AH14" s="1" t="str">
        <f>IFERROR(VLOOKUP($A14,[48]!Table1[#All],2,0),"-")</f>
        <v>-</v>
      </c>
      <c r="AI14" s="14" t="str">
        <f>IFERROR(VLOOKUP($A14,[48]!Table1[#All],3,0),"-")</f>
        <v>-</v>
      </c>
      <c r="AJ14" s="1" t="str">
        <f>IFERROR(VLOOKUP($A14,[49]!Table1[#All],2,0),"-")</f>
        <v>-</v>
      </c>
      <c r="AK14" s="14" t="str">
        <f>IFERROR(VLOOKUP($A14,[49]!Table1[#All],3,0),"-")</f>
        <v>-</v>
      </c>
      <c r="AL14" s="1" t="str">
        <f>IFERROR(VLOOKUP($A14,[50]!Table1[#All],2,0),"-")</f>
        <v>-</v>
      </c>
      <c r="AM14" s="14" t="str">
        <f>IFERROR(VLOOKUP($A14,[50]!Table1[#All],3,0),"-")</f>
        <v>-</v>
      </c>
      <c r="AN14" s="1" t="str">
        <f>IFERROR(VLOOKUP($A14,[51]!Table1[#All],2,0),"-")</f>
        <v>-</v>
      </c>
      <c r="AO14" s="14" t="str">
        <f>IFERROR(VLOOKUP($A14,[51]!Table1[#All],3,0),"-")</f>
        <v>-</v>
      </c>
      <c r="AP14" s="1" t="str">
        <f>IFERROR(VLOOKUP($A14,[52]!Table1[#All],2,0),"-")</f>
        <v>-</v>
      </c>
      <c r="AQ14" s="14" t="str">
        <f>IFERROR(VLOOKUP($A14,[52]!Table1[#All],3,0),"-")</f>
        <v>-</v>
      </c>
      <c r="AR14" s="1" t="str">
        <f>IFERROR(VLOOKUP($A14,[53]!Table1[#All],2,0),"-")</f>
        <v>-</v>
      </c>
      <c r="AS14" s="14" t="str">
        <f>IFERROR(VLOOKUP($A14,[53]!Table1[#All],3,0),"-")</f>
        <v>-</v>
      </c>
      <c r="AT14" s="1" t="str">
        <f>IFERROR(VLOOKUP($A14,[54]!Table1[#All],2,0),"-")</f>
        <v>-</v>
      </c>
      <c r="AU14" s="14" t="str">
        <f>IFERROR(VLOOKUP($A14,[54]!Table1[#All],3,0),"-")</f>
        <v>-</v>
      </c>
      <c r="AV14" s="1" t="str">
        <f>IFERROR(VLOOKUP($A14,[55]!Table1[#All],2,0),"-")</f>
        <v>-</v>
      </c>
      <c r="AW14" s="14" t="str">
        <f>IFERROR(VLOOKUP($A14,[55]!Table1[#All],3,0),"-")</f>
        <v>-</v>
      </c>
      <c r="AX14" s="1" t="str">
        <f>IFERROR(VLOOKUP($A14,[56]!Table1[#All],2,0),"-")</f>
        <v>-</v>
      </c>
      <c r="AY14" s="14" t="str">
        <f>IFERROR(VLOOKUP($A14,[56]!Table1[#All],3,0),"-")</f>
        <v>-</v>
      </c>
      <c r="AZ14" s="1" t="str">
        <f>IFERROR(VLOOKUP($A14,[57]!Table1[#All],2,0),"-")</f>
        <v>-</v>
      </c>
      <c r="BA14" s="14" t="str">
        <f>IFERROR(VLOOKUP($A14,[57]!Table1[#All],3,0),"-")</f>
        <v>-</v>
      </c>
      <c r="BB14" s="1" t="str">
        <f>IFERROR(VLOOKUP($A14,[58]!Table1[#All],2,0),"-")</f>
        <v>-</v>
      </c>
      <c r="BC14" s="14" t="str">
        <f>IFERROR(VLOOKUP($A14,[58]!Table1[#All],3,0),"-")</f>
        <v>-</v>
      </c>
      <c r="BD14" s="1" t="str">
        <f>IFERROR(VLOOKUP($A14,[59]!Table1[#All],2,0),"-")</f>
        <v>-</v>
      </c>
      <c r="BE14" s="14" t="str">
        <f>IFERROR(VLOOKUP($A14,[59]!Table1[#All],3,0),"-")</f>
        <v>-</v>
      </c>
      <c r="BF14" s="1" t="str">
        <f>IFERROR(VLOOKUP($A14,[60]!Table1[#All],2,0),"-")</f>
        <v>-</v>
      </c>
      <c r="BG14" s="14" t="str">
        <f>IFERROR(VLOOKUP($A14,[60]!Table1[#All],3,0),"-")</f>
        <v>-</v>
      </c>
      <c r="BH14" s="1" t="str">
        <f>IFERROR(VLOOKUP($A14,[61]!Table1[#All],2,0),"-")</f>
        <v>-</v>
      </c>
      <c r="BI14" s="14" t="str">
        <f>IFERROR(VLOOKUP($A14,[61]!Table1[#All],3,0),"-")</f>
        <v>-</v>
      </c>
      <c r="BJ14" s="1" t="str">
        <f>IFERROR(VLOOKUP($A14,[62]!Table1[#All],2,0),"-")</f>
        <v>-</v>
      </c>
      <c r="BK14" s="14" t="str">
        <f>IFERROR(VLOOKUP($A14,[62]!Table1[#All],3,0),"-")</f>
        <v>-</v>
      </c>
      <c r="BL14" s="11">
        <f t="shared" si="27"/>
        <v>0</v>
      </c>
      <c r="BM14" s="22">
        <f t="shared" si="28"/>
        <v>0</v>
      </c>
    </row>
    <row r="15" spans="1:65" x14ac:dyDescent="0.2">
      <c r="A15" s="13" t="s">
        <v>16</v>
      </c>
      <c r="B15" s="1" t="str">
        <f>IFERROR(VLOOKUP($A15,[32]!Table1[#All],2,0),"-")</f>
        <v>-</v>
      </c>
      <c r="C15" s="14" t="str">
        <f>IFERROR(VLOOKUP($A15,[32]!Table1[#All],3,0),"-")</f>
        <v>-</v>
      </c>
      <c r="D15" s="1" t="str">
        <f>IFERROR(VLOOKUP($A15,[33]!Table1[#All],2,0),"-")</f>
        <v>-</v>
      </c>
      <c r="E15" s="3" t="str">
        <f>IFERROR(VLOOKUP($A15,[33]!Table1[#All],3,0),"-")</f>
        <v>-</v>
      </c>
      <c r="F15" s="1" t="str">
        <f>IFERROR(VLOOKUP($A15,[34]!Table2[#All],2,0),"-")</f>
        <v>-</v>
      </c>
      <c r="G15" s="14" t="str">
        <f>IFERROR(VLOOKUP($A15,[34]!Table2[#All],3,0),"-")</f>
        <v>-</v>
      </c>
      <c r="H15" s="1" t="str">
        <f>IFERROR(VLOOKUP($A15,[35]!Table1[#All],2,0),"-")</f>
        <v>-</v>
      </c>
      <c r="I15" s="14" t="str">
        <f>IFERROR(VLOOKUP($A15,[35]!Table1[#All],3,0),"-")</f>
        <v>-</v>
      </c>
      <c r="J15" s="1" t="str">
        <f>IFERROR(VLOOKUP($A15,[36]!Table1[#All],2,0),"-")</f>
        <v>-</v>
      </c>
      <c r="K15" s="14" t="str">
        <f>IFERROR(VLOOKUP($A15,[36]!Table1[#All],3,0),"-")</f>
        <v>-</v>
      </c>
      <c r="L15" s="1" t="str">
        <f>IFERROR(VLOOKUP($A15,[37]!Table1[#All],2,0),"-")</f>
        <v>-</v>
      </c>
      <c r="M15" s="20" t="str">
        <f>IFERROR(VLOOKUP($A15,[37]!Table1[#All],3,0),"-")</f>
        <v>-</v>
      </c>
      <c r="N15" s="1" t="str">
        <f>IFERROR(VLOOKUP($A15,[38]!Table1[#All],2,0),"-")</f>
        <v>-</v>
      </c>
      <c r="O15" s="14" t="str">
        <f>IFERROR(VLOOKUP($A15,[38]!Table1[#All],3,0),"-")</f>
        <v>-</v>
      </c>
      <c r="P15" s="1" t="str">
        <f>IFERROR(VLOOKUP($A15,[39]!Table1[#All],2,0),"-")</f>
        <v>-</v>
      </c>
      <c r="Q15" s="14" t="str">
        <f>IFERROR(VLOOKUP($A15,[39]!Table1[#All],3,0),"-")</f>
        <v>-</v>
      </c>
      <c r="R15" s="1" t="str">
        <f>IFERROR(VLOOKUP($A15,[40]!Table1[#All],2,0),"-")</f>
        <v>-</v>
      </c>
      <c r="S15" s="14" t="str">
        <f>IFERROR(VLOOKUP($A15,[40]!Table1[#All],3,0),"-")</f>
        <v>-</v>
      </c>
      <c r="T15" s="1" t="str">
        <f>IFERROR(VLOOKUP($A15,[41]!Table1[#All],2,0),"-")</f>
        <v>-</v>
      </c>
      <c r="U15" s="14" t="str">
        <f>IFERROR(VLOOKUP($A15,[41]!Table1[#All],3,0),"-")</f>
        <v>-</v>
      </c>
      <c r="V15" s="1" t="str">
        <f>IFERROR(VLOOKUP($A15,[42]!Table1[#All],2,0),"-")</f>
        <v>-</v>
      </c>
      <c r="W15" s="14" t="str">
        <f>IFERROR(VLOOKUP($A15,[42]!Table1[#All],3,0),"-")</f>
        <v>-</v>
      </c>
      <c r="X15" s="1" t="str">
        <f>IFERROR(VLOOKUP($A15,[43]!Table1[#All],2,0),"-")</f>
        <v>-</v>
      </c>
      <c r="Y15" s="14" t="str">
        <f>IFERROR(VLOOKUP($A15,[43]!Table1[#All],3,0),"-")</f>
        <v>-</v>
      </c>
      <c r="Z15" s="1" t="str">
        <f>IFERROR(VLOOKUP($A15,[44]!Table1[#All],2,0),"-")</f>
        <v>-</v>
      </c>
      <c r="AA15" s="14" t="str">
        <f>IFERROR(VLOOKUP($A15,[44]!Table1[#All],3,0),"-")</f>
        <v>-</v>
      </c>
      <c r="AB15" s="1" t="str">
        <f>IFERROR(VLOOKUP($A15,[45]!Table1[#All],2,0),"-")</f>
        <v>-</v>
      </c>
      <c r="AC15" s="14" t="str">
        <f>IFERROR(VLOOKUP($A15,[45]!Table1[#All],3,0),"-")</f>
        <v>-</v>
      </c>
      <c r="AD15" s="1" t="str">
        <f>IFERROR(VLOOKUP($A15,[46]!Table1[#All],2,0),"-")</f>
        <v>-</v>
      </c>
      <c r="AE15" s="20" t="str">
        <f>IFERROR(VLOOKUP($A15,[46]!Table1[#All],3,0),"-")</f>
        <v>-</v>
      </c>
      <c r="AF15" s="1" t="str">
        <f>IFERROR(VLOOKUP($A15,[47]!Table1[#All],2,0),"-")</f>
        <v>-</v>
      </c>
      <c r="AG15" s="14" t="str">
        <f>IFERROR(VLOOKUP($A15,[47]!Table1[#All],3,0),"-")</f>
        <v>-</v>
      </c>
      <c r="AH15" s="1" t="str">
        <f>IFERROR(VLOOKUP($A15,[48]!Table1[#All],2,0),"-")</f>
        <v>-</v>
      </c>
      <c r="AI15" s="14" t="str">
        <f>IFERROR(VLOOKUP($A15,[48]!Table1[#All],3,0),"-")</f>
        <v>-</v>
      </c>
      <c r="AJ15" s="1" t="str">
        <f>IFERROR(VLOOKUP($A15,[49]!Table1[#All],2,0),"-")</f>
        <v>-</v>
      </c>
      <c r="AK15" s="14" t="str">
        <f>IFERROR(VLOOKUP($A15,[49]!Table1[#All],3,0),"-")</f>
        <v>-</v>
      </c>
      <c r="AL15" s="1" t="str">
        <f>IFERROR(VLOOKUP($A15,[50]!Table1[#All],2,0),"-")</f>
        <v>-</v>
      </c>
      <c r="AM15" s="14" t="str">
        <f>IFERROR(VLOOKUP($A15,[50]!Table1[#All],3,0),"-")</f>
        <v>-</v>
      </c>
      <c r="AN15" s="1" t="str">
        <f>IFERROR(VLOOKUP($A15,[51]!Table1[#All],2,0),"-")</f>
        <v>-</v>
      </c>
      <c r="AO15" s="14" t="str">
        <f>IFERROR(VLOOKUP($A15,[51]!Table1[#All],3,0),"-")</f>
        <v>-</v>
      </c>
      <c r="AP15" s="1" t="str">
        <f>IFERROR(VLOOKUP($A15,[52]!Table1[#All],2,0),"-")</f>
        <v>-</v>
      </c>
      <c r="AQ15" s="14" t="str">
        <f>IFERROR(VLOOKUP($A15,[52]!Table1[#All],3,0),"-")</f>
        <v>-</v>
      </c>
      <c r="AR15" s="1" t="str">
        <f>IFERROR(VLOOKUP($A15,[53]!Table1[#All],2,0),"-")</f>
        <v>-</v>
      </c>
      <c r="AS15" s="14" t="str">
        <f>IFERROR(VLOOKUP($A15,[53]!Table1[#All],3,0),"-")</f>
        <v>-</v>
      </c>
      <c r="AT15" s="1" t="str">
        <f>IFERROR(VLOOKUP($A15,[54]!Table1[#All],2,0),"-")</f>
        <v>-</v>
      </c>
      <c r="AU15" s="14" t="str">
        <f>IFERROR(VLOOKUP($A15,[54]!Table1[#All],3,0),"-")</f>
        <v>-</v>
      </c>
      <c r="AV15" s="1" t="str">
        <f>IFERROR(VLOOKUP($A15,[55]!Table1[#All],2,0),"-")</f>
        <v>-</v>
      </c>
      <c r="AW15" s="14" t="str">
        <f>IFERROR(VLOOKUP($A15,[55]!Table1[#All],3,0),"-")</f>
        <v>-</v>
      </c>
      <c r="AX15" s="1" t="str">
        <f>IFERROR(VLOOKUP($A15,[56]!Table1[#All],2,0),"-")</f>
        <v>-</v>
      </c>
      <c r="AY15" s="14" t="str">
        <f>IFERROR(VLOOKUP($A15,[56]!Table1[#All],3,0),"-")</f>
        <v>-</v>
      </c>
      <c r="AZ15" s="1" t="str">
        <f>IFERROR(VLOOKUP($A15,[57]!Table1[#All],2,0),"-")</f>
        <v>-</v>
      </c>
      <c r="BA15" s="14" t="str">
        <f>IFERROR(VLOOKUP($A15,[57]!Table1[#All],3,0),"-")</f>
        <v>-</v>
      </c>
      <c r="BB15" s="1" t="str">
        <f>IFERROR(VLOOKUP($A15,[58]!Table1[#All],2,0),"-")</f>
        <v>-</v>
      </c>
      <c r="BC15" s="14" t="str">
        <f>IFERROR(VLOOKUP($A15,[58]!Table1[#All],3,0),"-")</f>
        <v>-</v>
      </c>
      <c r="BD15" s="1" t="str">
        <f>IFERROR(VLOOKUP($A15,[59]!Table1[#All],2,0),"-")</f>
        <v>-</v>
      </c>
      <c r="BE15" s="14" t="str">
        <f>IFERROR(VLOOKUP($A15,[59]!Table1[#All],3,0),"-")</f>
        <v>-</v>
      </c>
      <c r="BF15" s="1" t="str">
        <f>IFERROR(VLOOKUP($A15,[60]!Table1[#All],2,0),"-")</f>
        <v>-</v>
      </c>
      <c r="BG15" s="14" t="str">
        <f>IFERROR(VLOOKUP($A15,[60]!Table1[#All],3,0),"-")</f>
        <v>-</v>
      </c>
      <c r="BH15" s="1" t="str">
        <f>IFERROR(VLOOKUP($A15,[61]!Table1[#All],2,0),"-")</f>
        <v>-</v>
      </c>
      <c r="BI15" s="14" t="str">
        <f>IFERROR(VLOOKUP($A15,[61]!Table1[#All],3,0),"-")</f>
        <v>-</v>
      </c>
      <c r="BJ15" s="1" t="str">
        <f>IFERROR(VLOOKUP($A15,[62]!Table1[#All],2,0),"-")</f>
        <v>-</v>
      </c>
      <c r="BK15" s="14" t="str">
        <f>IFERROR(VLOOKUP($A15,[62]!Table1[#All],3,0),"-")</f>
        <v>-</v>
      </c>
      <c r="BL15" s="11">
        <f t="shared" si="27"/>
        <v>0</v>
      </c>
      <c r="BM15" s="22">
        <f t="shared" si="28"/>
        <v>0</v>
      </c>
    </row>
    <row r="16" spans="1:65" x14ac:dyDescent="0.2">
      <c r="A16" s="13" t="s">
        <v>0</v>
      </c>
      <c r="B16" s="1" t="str">
        <f>IFERROR(VLOOKUP($A16,[32]!Table1[#All],2,0),"-")</f>
        <v>-</v>
      </c>
      <c r="C16" s="14" t="str">
        <f>IFERROR(VLOOKUP($A16,[32]!Table1[#All],3,0),"-")</f>
        <v>-</v>
      </c>
      <c r="D16" s="1" t="str">
        <f>IFERROR(VLOOKUP($A16,[33]!Table1[#All],2,0),"-")</f>
        <v>-</v>
      </c>
      <c r="E16" s="3" t="str">
        <f>IFERROR(VLOOKUP($A16,[33]!Table1[#All],3,0),"-")</f>
        <v>-</v>
      </c>
      <c r="F16" s="1" t="str">
        <f>IFERROR(VLOOKUP($A16,[34]!Table2[#All],2,0),"-")</f>
        <v>-</v>
      </c>
      <c r="G16" s="14" t="str">
        <f>IFERROR(VLOOKUP($A16,[34]!Table2[#All],3,0),"-")</f>
        <v>-</v>
      </c>
      <c r="H16" s="1" t="str">
        <f>IFERROR(VLOOKUP($A16,[35]!Table1[#All],2,0),"-")</f>
        <v>-</v>
      </c>
      <c r="I16" s="14" t="str">
        <f>IFERROR(VLOOKUP($A16,[35]!Table1[#All],3,0),"-")</f>
        <v>-</v>
      </c>
      <c r="J16" s="1" t="str">
        <f>IFERROR(VLOOKUP($A16,[36]!Table1[#All],2,0),"-")</f>
        <v>-</v>
      </c>
      <c r="K16" s="14" t="str">
        <f>IFERROR(VLOOKUP($A16,[36]!Table1[#All],3,0),"-")</f>
        <v>-</v>
      </c>
      <c r="L16" s="1" t="str">
        <f>IFERROR(VLOOKUP($A16,[37]!Table1[#All],2,0),"-")</f>
        <v>-</v>
      </c>
      <c r="M16" s="20" t="str">
        <f>IFERROR(VLOOKUP($A16,[37]!Table1[#All],3,0),"-")</f>
        <v>-</v>
      </c>
      <c r="N16" s="1" t="str">
        <f>IFERROR(VLOOKUP($A16,[38]!Table1[#All],2,0),"-")</f>
        <v>-</v>
      </c>
      <c r="O16" s="14" t="str">
        <f>IFERROR(VLOOKUP($A16,[38]!Table1[#All],3,0),"-")</f>
        <v>-</v>
      </c>
      <c r="P16" s="1" t="str">
        <f>IFERROR(VLOOKUP($A16,[39]!Table1[#All],2,0),"-")</f>
        <v>-</v>
      </c>
      <c r="Q16" s="14" t="str">
        <f>IFERROR(VLOOKUP($A16,[39]!Table1[#All],3,0),"-")</f>
        <v>-</v>
      </c>
      <c r="R16" s="1" t="str">
        <f>IFERROR(VLOOKUP($A16,[40]!Table1[#All],2,0),"-")</f>
        <v>-</v>
      </c>
      <c r="S16" s="14" t="str">
        <f>IFERROR(VLOOKUP($A16,[40]!Table1[#All],3,0),"-")</f>
        <v>-</v>
      </c>
      <c r="T16" s="1" t="str">
        <f>IFERROR(VLOOKUP($A16,[41]!Table1[#All],2,0),"-")</f>
        <v>-</v>
      </c>
      <c r="U16" s="14" t="str">
        <f>IFERROR(VLOOKUP($A16,[41]!Table1[#All],3,0),"-")</f>
        <v>-</v>
      </c>
      <c r="V16" s="1" t="str">
        <f>IFERROR(VLOOKUP($A16,[42]!Table1[#All],2,0),"-")</f>
        <v>-</v>
      </c>
      <c r="W16" s="14" t="str">
        <f>IFERROR(VLOOKUP($A16,[42]!Table1[#All],3,0),"-")</f>
        <v>-</v>
      </c>
      <c r="X16" s="1" t="str">
        <f>IFERROR(VLOOKUP($A16,[43]!Table1[#All],2,0),"-")</f>
        <v>-</v>
      </c>
      <c r="Y16" s="14" t="str">
        <f>IFERROR(VLOOKUP($A16,[43]!Table1[#All],3,0),"-")</f>
        <v>-</v>
      </c>
      <c r="Z16" s="1" t="str">
        <f>IFERROR(VLOOKUP($A16,[44]!Table1[#All],2,0),"-")</f>
        <v>-</v>
      </c>
      <c r="AA16" s="14" t="str">
        <f>IFERROR(VLOOKUP($A16,[44]!Table1[#All],3,0),"-")</f>
        <v>-</v>
      </c>
      <c r="AB16" s="1" t="str">
        <f>IFERROR(VLOOKUP($A16,[45]!Table1[#All],2,0),"-")</f>
        <v>-</v>
      </c>
      <c r="AC16" s="14" t="str">
        <f>IFERROR(VLOOKUP($A16,[45]!Table1[#All],3,0),"-")</f>
        <v>-</v>
      </c>
      <c r="AD16" s="1" t="str">
        <f>IFERROR(VLOOKUP($A16,[46]!Table1[#All],2,0),"-")</f>
        <v>-</v>
      </c>
      <c r="AE16" s="20" t="str">
        <f>IFERROR(VLOOKUP($A16,[46]!Table1[#All],3,0),"-")</f>
        <v>-</v>
      </c>
      <c r="AF16" s="1" t="str">
        <f>IFERROR(VLOOKUP($A16,[47]!Table1[#All],2,0),"-")</f>
        <v>-</v>
      </c>
      <c r="AG16" s="14" t="str">
        <f>IFERROR(VLOOKUP($A16,[47]!Table1[#All],3,0),"-")</f>
        <v>-</v>
      </c>
      <c r="AH16" s="1" t="str">
        <f>IFERROR(VLOOKUP($A16,[48]!Table1[#All],2,0),"-")</f>
        <v>-</v>
      </c>
      <c r="AI16" s="14" t="str">
        <f>IFERROR(VLOOKUP($A16,[48]!Table1[#All],3,0),"-")</f>
        <v>-</v>
      </c>
      <c r="AJ16" s="1" t="str">
        <f>IFERROR(VLOOKUP($A16,[49]!Table1[#All],2,0),"-")</f>
        <v>-</v>
      </c>
      <c r="AK16" s="14" t="str">
        <f>IFERROR(VLOOKUP($A16,[49]!Table1[#All],3,0),"-")</f>
        <v>-</v>
      </c>
      <c r="AL16" s="1" t="str">
        <f>IFERROR(VLOOKUP($A16,[50]!Table1[#All],2,0),"-")</f>
        <v>-</v>
      </c>
      <c r="AM16" s="14" t="str">
        <f>IFERROR(VLOOKUP($A16,[50]!Table1[#All],3,0),"-")</f>
        <v>-</v>
      </c>
      <c r="AN16" s="1" t="str">
        <f>IFERROR(VLOOKUP($A16,[51]!Table1[#All],2,0),"-")</f>
        <v>-</v>
      </c>
      <c r="AO16" s="14" t="str">
        <f>IFERROR(VLOOKUP($A16,[51]!Table1[#All],3,0),"-")</f>
        <v>-</v>
      </c>
      <c r="AP16" s="1" t="str">
        <f>IFERROR(VLOOKUP($A16,[52]!Table1[#All],2,0),"-")</f>
        <v>-</v>
      </c>
      <c r="AQ16" s="14" t="str">
        <f>IFERROR(VLOOKUP($A16,[52]!Table1[#All],3,0),"-")</f>
        <v>-</v>
      </c>
      <c r="AR16" s="1" t="str">
        <f>IFERROR(VLOOKUP($A16,[53]!Table1[#All],2,0),"-")</f>
        <v>-</v>
      </c>
      <c r="AS16" s="14" t="str">
        <f>IFERROR(VLOOKUP($A16,[53]!Table1[#All],3,0),"-")</f>
        <v>-</v>
      </c>
      <c r="AT16" s="1" t="str">
        <f>IFERROR(VLOOKUP($A16,[54]!Table1[#All],2,0),"-")</f>
        <v>-</v>
      </c>
      <c r="AU16" s="14" t="str">
        <f>IFERROR(VLOOKUP($A16,[54]!Table1[#All],3,0),"-")</f>
        <v>-</v>
      </c>
      <c r="AV16" s="1" t="str">
        <f>IFERROR(VLOOKUP($A16,[55]!Table1[#All],2,0),"-")</f>
        <v>-</v>
      </c>
      <c r="AW16" s="14" t="str">
        <f>IFERROR(VLOOKUP($A16,[55]!Table1[#All],3,0),"-")</f>
        <v>-</v>
      </c>
      <c r="AX16" s="1" t="str">
        <f>IFERROR(VLOOKUP($A16,[56]!Table1[#All],2,0),"-")</f>
        <v>-</v>
      </c>
      <c r="AY16" s="14" t="str">
        <f>IFERROR(VLOOKUP($A16,[56]!Table1[#All],3,0),"-")</f>
        <v>-</v>
      </c>
      <c r="AZ16" s="1" t="str">
        <f>IFERROR(VLOOKUP($A16,[57]!Table1[#All],2,0),"-")</f>
        <v>-</v>
      </c>
      <c r="BA16" s="14" t="str">
        <f>IFERROR(VLOOKUP($A16,[57]!Table1[#All],3,0),"-")</f>
        <v>-</v>
      </c>
      <c r="BB16" s="1" t="str">
        <f>IFERROR(VLOOKUP($A16,[58]!Table1[#All],2,0),"-")</f>
        <v>-</v>
      </c>
      <c r="BC16" s="14" t="str">
        <f>IFERROR(VLOOKUP($A16,[58]!Table1[#All],3,0),"-")</f>
        <v>-</v>
      </c>
      <c r="BD16" s="1" t="str">
        <f>IFERROR(VLOOKUP($A16,[59]!Table1[#All],2,0),"-")</f>
        <v>-</v>
      </c>
      <c r="BE16" s="14" t="str">
        <f>IFERROR(VLOOKUP($A16,[59]!Table1[#All],3,0),"-")</f>
        <v>-</v>
      </c>
      <c r="BF16" s="1" t="str">
        <f>IFERROR(VLOOKUP($A16,[60]!Table1[#All],2,0),"-")</f>
        <v>-</v>
      </c>
      <c r="BG16" s="14" t="str">
        <f>IFERROR(VLOOKUP($A16,[60]!Table1[#All],3,0),"-")</f>
        <v>-</v>
      </c>
      <c r="BH16" s="1" t="str">
        <f>IFERROR(VLOOKUP($A16,[61]!Table1[#All],2,0),"-")</f>
        <v>-</v>
      </c>
      <c r="BI16" s="14" t="str">
        <f>IFERROR(VLOOKUP($A16,[61]!Table1[#All],3,0),"-")</f>
        <v>-</v>
      </c>
      <c r="BJ16" s="1" t="str">
        <f>IFERROR(VLOOKUP($A16,[62]!Table1[#All],2,0),"-")</f>
        <v>-</v>
      </c>
      <c r="BK16" s="14" t="str">
        <f>IFERROR(VLOOKUP($A16,[62]!Table1[#All],3,0),"-")</f>
        <v>-</v>
      </c>
      <c r="BL16" s="11">
        <f t="shared" si="27"/>
        <v>0</v>
      </c>
      <c r="BM16" s="22">
        <f t="shared" si="28"/>
        <v>0</v>
      </c>
    </row>
    <row r="17" spans="1:65" x14ac:dyDescent="0.2">
      <c r="A17" s="13" t="s">
        <v>4</v>
      </c>
      <c r="B17" s="1" t="str">
        <f>IFERROR(VLOOKUP($A17,[32]!Table1[#All],2,0),"-")</f>
        <v>-</v>
      </c>
      <c r="C17" s="14" t="str">
        <f>IFERROR(VLOOKUP($A17,[32]!Table1[#All],3,0),"-")</f>
        <v>-</v>
      </c>
      <c r="D17" s="1" t="str">
        <f>IFERROR(VLOOKUP($A17,[33]!Table1[#All],2,0),"-")</f>
        <v>-</v>
      </c>
      <c r="E17" s="3" t="str">
        <f>IFERROR(VLOOKUP($A17,[33]!Table1[#All],3,0),"-")</f>
        <v>-</v>
      </c>
      <c r="F17" s="1" t="str">
        <f>IFERROR(VLOOKUP($A17,[34]!Table2[#All],2,0),"-")</f>
        <v>-</v>
      </c>
      <c r="G17" s="14" t="str">
        <f>IFERROR(VLOOKUP($A17,[34]!Table2[#All],3,0),"-")</f>
        <v>-</v>
      </c>
      <c r="H17" s="1" t="str">
        <f>IFERROR(VLOOKUP($A17,[35]!Table1[#All],2,0),"-")</f>
        <v>-</v>
      </c>
      <c r="I17" s="14" t="str">
        <f>IFERROR(VLOOKUP($A17,[35]!Table1[#All],3,0),"-")</f>
        <v>-</v>
      </c>
      <c r="J17" s="1" t="str">
        <f>IFERROR(VLOOKUP($A17,[36]!Table1[#All],2,0),"-")</f>
        <v>-</v>
      </c>
      <c r="K17" s="14" t="str">
        <f>IFERROR(VLOOKUP($A17,[36]!Table1[#All],3,0),"-")</f>
        <v>-</v>
      </c>
      <c r="L17" s="1" t="str">
        <f>IFERROR(VLOOKUP($A17,[37]!Table1[#All],2,0),"-")</f>
        <v>-</v>
      </c>
      <c r="M17" s="20" t="str">
        <f>IFERROR(VLOOKUP($A17,[37]!Table1[#All],3,0),"-")</f>
        <v>-</v>
      </c>
      <c r="N17" s="1" t="str">
        <f>IFERROR(VLOOKUP($A17,[38]!Table1[#All],2,0),"-")</f>
        <v>-</v>
      </c>
      <c r="O17" s="14" t="str">
        <f>IFERROR(VLOOKUP($A17,[38]!Table1[#All],3,0),"-")</f>
        <v>-</v>
      </c>
      <c r="P17" s="1" t="str">
        <f>IFERROR(VLOOKUP($A17,[39]!Table1[#All],2,0),"-")</f>
        <v>-</v>
      </c>
      <c r="Q17" s="14" t="str">
        <f>IFERROR(VLOOKUP($A17,[39]!Table1[#All],3,0),"-")</f>
        <v>-</v>
      </c>
      <c r="R17" s="1" t="str">
        <f>IFERROR(VLOOKUP($A17,[40]!Table1[#All],2,0),"-")</f>
        <v>-</v>
      </c>
      <c r="S17" s="14" t="str">
        <f>IFERROR(VLOOKUP($A17,[40]!Table1[#All],3,0),"-")</f>
        <v>-</v>
      </c>
      <c r="T17" s="1" t="str">
        <f>IFERROR(VLOOKUP($A17,[41]!Table1[#All],2,0),"-")</f>
        <v>-</v>
      </c>
      <c r="U17" s="14" t="str">
        <f>IFERROR(VLOOKUP($A17,[41]!Table1[#All],3,0),"-")</f>
        <v>-</v>
      </c>
      <c r="V17" s="1" t="str">
        <f>IFERROR(VLOOKUP($A17,[42]!Table1[#All],2,0),"-")</f>
        <v>-</v>
      </c>
      <c r="W17" s="14" t="str">
        <f>IFERROR(VLOOKUP($A17,[42]!Table1[#All],3,0),"-")</f>
        <v>-</v>
      </c>
      <c r="X17" s="1" t="str">
        <f>IFERROR(VLOOKUP($A17,[43]!Table1[#All],2,0),"-")</f>
        <v>-</v>
      </c>
      <c r="Y17" s="14" t="str">
        <f>IFERROR(VLOOKUP($A17,[43]!Table1[#All],3,0),"-")</f>
        <v>-</v>
      </c>
      <c r="Z17" s="1" t="str">
        <f>IFERROR(VLOOKUP($A17,[44]!Table1[#All],2,0),"-")</f>
        <v>-</v>
      </c>
      <c r="AA17" s="14" t="str">
        <f>IFERROR(VLOOKUP($A17,[44]!Table1[#All],3,0),"-")</f>
        <v>-</v>
      </c>
      <c r="AB17" s="1" t="str">
        <f>IFERROR(VLOOKUP($A17,[45]!Table1[#All],2,0),"-")</f>
        <v>-</v>
      </c>
      <c r="AC17" s="14" t="str">
        <f>IFERROR(VLOOKUP($A17,[45]!Table1[#All],3,0),"-")</f>
        <v>-</v>
      </c>
      <c r="AD17" s="1" t="str">
        <f>IFERROR(VLOOKUP($A17,[46]!Table1[#All],2,0),"-")</f>
        <v>-</v>
      </c>
      <c r="AE17" s="20" t="str">
        <f>IFERROR(VLOOKUP($A17,[46]!Table1[#All],3,0),"-")</f>
        <v>-</v>
      </c>
      <c r="AF17" s="1" t="str">
        <f>IFERROR(VLOOKUP($A17,[47]!Table1[#All],2,0),"-")</f>
        <v>-</v>
      </c>
      <c r="AG17" s="14" t="str">
        <f>IFERROR(VLOOKUP($A17,[47]!Table1[#All],3,0),"-")</f>
        <v>-</v>
      </c>
      <c r="AH17" s="1" t="str">
        <f>IFERROR(VLOOKUP($A17,[48]!Table1[#All],2,0),"-")</f>
        <v>-</v>
      </c>
      <c r="AI17" s="14" t="str">
        <f>IFERROR(VLOOKUP($A17,[48]!Table1[#All],3,0),"-")</f>
        <v>-</v>
      </c>
      <c r="AJ17" s="1" t="str">
        <f>IFERROR(VLOOKUP($A17,[49]!Table1[#All],2,0),"-")</f>
        <v>-</v>
      </c>
      <c r="AK17" s="14" t="str">
        <f>IFERROR(VLOOKUP($A17,[49]!Table1[#All],3,0),"-")</f>
        <v>-</v>
      </c>
      <c r="AL17" s="1" t="str">
        <f>IFERROR(VLOOKUP($A17,[50]!Table1[#All],2,0),"-")</f>
        <v>-</v>
      </c>
      <c r="AM17" s="14" t="str">
        <f>IFERROR(VLOOKUP($A17,[50]!Table1[#All],3,0),"-")</f>
        <v>-</v>
      </c>
      <c r="AN17" s="1" t="str">
        <f>IFERROR(VLOOKUP($A17,[51]!Table1[#All],2,0),"-")</f>
        <v>-</v>
      </c>
      <c r="AO17" s="14" t="str">
        <f>IFERROR(VLOOKUP($A17,[51]!Table1[#All],3,0),"-")</f>
        <v>-</v>
      </c>
      <c r="AP17" s="1" t="str">
        <f>IFERROR(VLOOKUP($A17,[52]!Table1[#All],2,0),"-")</f>
        <v>-</v>
      </c>
      <c r="AQ17" s="14" t="str">
        <f>IFERROR(VLOOKUP($A17,[52]!Table1[#All],3,0),"-")</f>
        <v>-</v>
      </c>
      <c r="AR17" s="1" t="str">
        <f>IFERROR(VLOOKUP($A17,[53]!Table1[#All],2,0),"-")</f>
        <v>-</v>
      </c>
      <c r="AS17" s="14" t="str">
        <f>IFERROR(VLOOKUP($A17,[53]!Table1[#All],3,0),"-")</f>
        <v>-</v>
      </c>
      <c r="AT17" s="1" t="str">
        <f>IFERROR(VLOOKUP($A17,[54]!Table1[#All],2,0),"-")</f>
        <v>-</v>
      </c>
      <c r="AU17" s="14" t="str">
        <f>IFERROR(VLOOKUP($A17,[54]!Table1[#All],3,0),"-")</f>
        <v>-</v>
      </c>
      <c r="AV17" s="1" t="str">
        <f>IFERROR(VLOOKUP($A17,[55]!Table1[#All],2,0),"-")</f>
        <v>-</v>
      </c>
      <c r="AW17" s="14" t="str">
        <f>IFERROR(VLOOKUP($A17,[55]!Table1[#All],3,0),"-")</f>
        <v>-</v>
      </c>
      <c r="AX17" s="1" t="str">
        <f>IFERROR(VLOOKUP($A17,[56]!Table1[#All],2,0),"-")</f>
        <v>-</v>
      </c>
      <c r="AY17" s="14" t="str">
        <f>IFERROR(VLOOKUP($A17,[56]!Table1[#All],3,0),"-")</f>
        <v>-</v>
      </c>
      <c r="AZ17" s="1" t="str">
        <f>IFERROR(VLOOKUP($A17,[57]!Table1[#All],2,0),"-")</f>
        <v>-</v>
      </c>
      <c r="BA17" s="14" t="str">
        <f>IFERROR(VLOOKUP($A17,[57]!Table1[#All],3,0),"-")</f>
        <v>-</v>
      </c>
      <c r="BB17" s="1" t="str">
        <f>IFERROR(VLOOKUP($A17,[58]!Table1[#All],2,0),"-")</f>
        <v>-</v>
      </c>
      <c r="BC17" s="14" t="str">
        <f>IFERROR(VLOOKUP($A17,[58]!Table1[#All],3,0),"-")</f>
        <v>-</v>
      </c>
      <c r="BD17" s="1" t="str">
        <f>IFERROR(VLOOKUP($A17,[59]!Table1[#All],2,0),"-")</f>
        <v>-</v>
      </c>
      <c r="BE17" s="14" t="str">
        <f>IFERROR(VLOOKUP($A17,[59]!Table1[#All],3,0),"-")</f>
        <v>-</v>
      </c>
      <c r="BF17" s="1" t="str">
        <f>IFERROR(VLOOKUP($A17,[60]!Table1[#All],2,0),"-")</f>
        <v>-</v>
      </c>
      <c r="BG17" s="14" t="str">
        <f>IFERROR(VLOOKUP($A17,[60]!Table1[#All],3,0),"-")</f>
        <v>-</v>
      </c>
      <c r="BH17" s="1" t="str">
        <f>IFERROR(VLOOKUP($A17,[61]!Table1[#All],2,0),"-")</f>
        <v>-</v>
      </c>
      <c r="BI17" s="14" t="str">
        <f>IFERROR(VLOOKUP($A17,[61]!Table1[#All],3,0),"-")</f>
        <v>-</v>
      </c>
      <c r="BJ17" s="1" t="str">
        <f>IFERROR(VLOOKUP($A17,[62]!Table1[#All],2,0),"-")</f>
        <v>-</v>
      </c>
      <c r="BK17" s="14" t="str">
        <f>IFERROR(VLOOKUP($A17,[62]!Table1[#All],3,0),"-")</f>
        <v>-</v>
      </c>
      <c r="BL17" s="11">
        <f t="shared" si="27"/>
        <v>0</v>
      </c>
      <c r="BM17" s="22">
        <f t="shared" si="28"/>
        <v>0</v>
      </c>
    </row>
    <row r="18" spans="1:65" x14ac:dyDescent="0.2">
      <c r="A18" s="13" t="s">
        <v>7</v>
      </c>
      <c r="B18" s="1" t="str">
        <f>IFERROR(VLOOKUP($A18,[32]!Table1[#All],2,0),"-")</f>
        <v>-</v>
      </c>
      <c r="C18" s="14" t="str">
        <f>IFERROR(VLOOKUP($A18,[32]!Table1[#All],3,0),"-")</f>
        <v>-</v>
      </c>
      <c r="D18" s="1" t="str">
        <f>IFERROR(VLOOKUP($A18,[33]!Table1[#All],2,0),"-")</f>
        <v>-</v>
      </c>
      <c r="E18" s="3" t="str">
        <f>IFERROR(VLOOKUP($A18,[33]!Table1[#All],3,0),"-")</f>
        <v>-</v>
      </c>
      <c r="F18" s="1" t="str">
        <f>IFERROR(VLOOKUP($A18,[34]!Table2[#All],2,0),"-")</f>
        <v>-</v>
      </c>
      <c r="G18" s="14" t="str">
        <f>IFERROR(VLOOKUP($A18,[34]!Table2[#All],3,0),"-")</f>
        <v>-</v>
      </c>
      <c r="H18" s="1" t="str">
        <f>IFERROR(VLOOKUP($A18,[35]!Table1[#All],2,0),"-")</f>
        <v>-</v>
      </c>
      <c r="I18" s="14" t="str">
        <f>IFERROR(VLOOKUP($A18,[35]!Table1[#All],3,0),"-")</f>
        <v>-</v>
      </c>
      <c r="J18" s="1" t="str">
        <f>IFERROR(VLOOKUP($A18,[36]!Table1[#All],2,0),"-")</f>
        <v>-</v>
      </c>
      <c r="K18" s="14" t="str">
        <f>IFERROR(VLOOKUP($A18,[36]!Table1[#All],3,0),"-")</f>
        <v>-</v>
      </c>
      <c r="L18" s="1" t="str">
        <f>IFERROR(VLOOKUP($A18,[37]!Table1[#All],2,0),"-")</f>
        <v>-</v>
      </c>
      <c r="M18" s="20" t="str">
        <f>IFERROR(VLOOKUP($A18,[37]!Table1[#All],3,0),"-")</f>
        <v>-</v>
      </c>
      <c r="N18" s="1" t="str">
        <f>IFERROR(VLOOKUP($A18,[38]!Table1[#All],2,0),"-")</f>
        <v>-</v>
      </c>
      <c r="O18" s="14" t="str">
        <f>IFERROR(VLOOKUP($A18,[38]!Table1[#All],3,0),"-")</f>
        <v>-</v>
      </c>
      <c r="P18" s="1" t="str">
        <f>IFERROR(VLOOKUP($A18,[39]!Table1[#All],2,0),"-")</f>
        <v>-</v>
      </c>
      <c r="Q18" s="14" t="str">
        <f>IFERROR(VLOOKUP($A18,[39]!Table1[#All],3,0),"-")</f>
        <v>-</v>
      </c>
      <c r="R18" s="1" t="str">
        <f>IFERROR(VLOOKUP($A18,[40]!Table1[#All],2,0),"-")</f>
        <v>-</v>
      </c>
      <c r="S18" s="14" t="str">
        <f>IFERROR(VLOOKUP($A18,[40]!Table1[#All],3,0),"-")</f>
        <v>-</v>
      </c>
      <c r="T18" s="1" t="str">
        <f>IFERROR(VLOOKUP($A18,[41]!Table1[#All],2,0),"-")</f>
        <v>-</v>
      </c>
      <c r="U18" s="14" t="str">
        <f>IFERROR(VLOOKUP($A18,[41]!Table1[#All],3,0),"-")</f>
        <v>-</v>
      </c>
      <c r="V18" s="1" t="str">
        <f>IFERROR(VLOOKUP($A18,[42]!Table1[#All],2,0),"-")</f>
        <v>-</v>
      </c>
      <c r="W18" s="14" t="str">
        <f>IFERROR(VLOOKUP($A18,[42]!Table1[#All],3,0),"-")</f>
        <v>-</v>
      </c>
      <c r="X18" s="1" t="str">
        <f>IFERROR(VLOOKUP($A18,[43]!Table1[#All],2,0),"-")</f>
        <v>-</v>
      </c>
      <c r="Y18" s="14" t="str">
        <f>IFERROR(VLOOKUP($A18,[43]!Table1[#All],3,0),"-")</f>
        <v>-</v>
      </c>
      <c r="Z18" s="1" t="str">
        <f>IFERROR(VLOOKUP($A18,[44]!Table1[#All],2,0),"-")</f>
        <v>-</v>
      </c>
      <c r="AA18" s="14" t="str">
        <f>IFERROR(VLOOKUP($A18,[44]!Table1[#All],3,0),"-")</f>
        <v>-</v>
      </c>
      <c r="AB18" s="1" t="str">
        <f>IFERROR(VLOOKUP($A18,[45]!Table1[#All],2,0),"-")</f>
        <v>-</v>
      </c>
      <c r="AC18" s="14" t="str">
        <f>IFERROR(VLOOKUP($A18,[45]!Table1[#All],3,0),"-")</f>
        <v>-</v>
      </c>
      <c r="AD18" s="1" t="str">
        <f>IFERROR(VLOOKUP($A18,[46]!Table1[#All],2,0),"-")</f>
        <v>-</v>
      </c>
      <c r="AE18" s="20" t="str">
        <f>IFERROR(VLOOKUP($A18,[46]!Table1[#All],3,0),"-")</f>
        <v>-</v>
      </c>
      <c r="AF18" s="1" t="str">
        <f>IFERROR(VLOOKUP($A18,[47]!Table1[#All],2,0),"-")</f>
        <v>-</v>
      </c>
      <c r="AG18" s="14" t="str">
        <f>IFERROR(VLOOKUP($A18,[47]!Table1[#All],3,0),"-")</f>
        <v>-</v>
      </c>
      <c r="AH18" s="1" t="str">
        <f>IFERROR(VLOOKUP($A18,[48]!Table1[#All],2,0),"-")</f>
        <v>-</v>
      </c>
      <c r="AI18" s="14" t="str">
        <f>IFERROR(VLOOKUP($A18,[48]!Table1[#All],3,0),"-")</f>
        <v>-</v>
      </c>
      <c r="AJ18" s="1" t="str">
        <f>IFERROR(VLOOKUP($A18,[49]!Table1[#All],2,0),"-")</f>
        <v>-</v>
      </c>
      <c r="AK18" s="14" t="str">
        <f>IFERROR(VLOOKUP($A18,[49]!Table1[#All],3,0),"-")</f>
        <v>-</v>
      </c>
      <c r="AL18" s="1" t="str">
        <f>IFERROR(VLOOKUP($A18,[50]!Table1[#All],2,0),"-")</f>
        <v>-</v>
      </c>
      <c r="AM18" s="14" t="str">
        <f>IFERROR(VLOOKUP($A18,[50]!Table1[#All],3,0),"-")</f>
        <v>-</v>
      </c>
      <c r="AN18" s="1" t="str">
        <f>IFERROR(VLOOKUP($A18,[51]!Table1[#All],2,0),"-")</f>
        <v>-</v>
      </c>
      <c r="AO18" s="14" t="str">
        <f>IFERROR(VLOOKUP($A18,[51]!Table1[#All],3,0),"-")</f>
        <v>-</v>
      </c>
      <c r="AP18" s="1" t="str">
        <f>IFERROR(VLOOKUP($A18,[52]!Table1[#All],2,0),"-")</f>
        <v>-</v>
      </c>
      <c r="AQ18" s="14" t="str">
        <f>IFERROR(VLOOKUP($A18,[52]!Table1[#All],3,0),"-")</f>
        <v>-</v>
      </c>
      <c r="AR18" s="1" t="str">
        <f>IFERROR(VLOOKUP($A18,[53]!Table1[#All],2,0),"-")</f>
        <v>-</v>
      </c>
      <c r="AS18" s="14" t="str">
        <f>IFERROR(VLOOKUP($A18,[53]!Table1[#All],3,0),"-")</f>
        <v>-</v>
      </c>
      <c r="AT18" s="1" t="str">
        <f>IFERROR(VLOOKUP($A18,[54]!Table1[#All],2,0),"-")</f>
        <v>-</v>
      </c>
      <c r="AU18" s="14" t="str">
        <f>IFERROR(VLOOKUP($A18,[54]!Table1[#All],3,0),"-")</f>
        <v>-</v>
      </c>
      <c r="AV18" s="1" t="str">
        <f>IFERROR(VLOOKUP($A18,[55]!Table1[#All],2,0),"-")</f>
        <v>-</v>
      </c>
      <c r="AW18" s="14" t="str">
        <f>IFERROR(VLOOKUP($A18,[55]!Table1[#All],3,0),"-")</f>
        <v>-</v>
      </c>
      <c r="AX18" s="1" t="str">
        <f>IFERROR(VLOOKUP($A18,[56]!Table1[#All],2,0),"-")</f>
        <v>-</v>
      </c>
      <c r="AY18" s="14" t="str">
        <f>IFERROR(VLOOKUP($A18,[56]!Table1[#All],3,0),"-")</f>
        <v>-</v>
      </c>
      <c r="AZ18" s="1" t="str">
        <f>IFERROR(VLOOKUP($A18,[57]!Table1[#All],2,0),"-")</f>
        <v>-</v>
      </c>
      <c r="BA18" s="14" t="str">
        <f>IFERROR(VLOOKUP($A18,[57]!Table1[#All],3,0),"-")</f>
        <v>-</v>
      </c>
      <c r="BB18" s="1" t="str">
        <f>IFERROR(VLOOKUP($A18,[58]!Table1[#All],2,0),"-")</f>
        <v>-</v>
      </c>
      <c r="BC18" s="14" t="str">
        <f>IFERROR(VLOOKUP($A18,[58]!Table1[#All],3,0),"-")</f>
        <v>-</v>
      </c>
      <c r="BD18" s="1" t="str">
        <f>IFERROR(VLOOKUP($A18,[59]!Table1[#All],2,0),"-")</f>
        <v>-</v>
      </c>
      <c r="BE18" s="14" t="str">
        <f>IFERROR(VLOOKUP($A18,[59]!Table1[#All],3,0),"-")</f>
        <v>-</v>
      </c>
      <c r="BF18" s="1" t="str">
        <f>IFERROR(VLOOKUP($A18,[60]!Table1[#All],2,0),"-")</f>
        <v>-</v>
      </c>
      <c r="BG18" s="14" t="str">
        <f>IFERROR(VLOOKUP($A18,[60]!Table1[#All],3,0),"-")</f>
        <v>-</v>
      </c>
      <c r="BH18" s="1" t="str">
        <f>IFERROR(VLOOKUP($A18,[61]!Table1[#All],2,0),"-")</f>
        <v>-</v>
      </c>
      <c r="BI18" s="14" t="str">
        <f>IFERROR(VLOOKUP($A18,[61]!Table1[#All],3,0),"-")</f>
        <v>-</v>
      </c>
      <c r="BJ18" s="1" t="str">
        <f>IFERROR(VLOOKUP($A18,[62]!Table1[#All],2,0),"-")</f>
        <v>-</v>
      </c>
      <c r="BK18" s="14" t="str">
        <f>IFERROR(VLOOKUP($A18,[62]!Table1[#All],3,0),"-")</f>
        <v>-</v>
      </c>
      <c r="BL18" s="11">
        <f t="shared" si="27"/>
        <v>0</v>
      </c>
      <c r="BM18" s="22">
        <f t="shared" si="28"/>
        <v>0</v>
      </c>
    </row>
    <row r="19" spans="1:65" x14ac:dyDescent="0.2">
      <c r="A19" s="13" t="s">
        <v>3</v>
      </c>
      <c r="B19" s="1" t="str">
        <f>IFERROR(VLOOKUP($A19,[32]!Table1[#All],2,0),"-")</f>
        <v>-</v>
      </c>
      <c r="C19" s="14" t="str">
        <f>IFERROR(VLOOKUP($A19,[32]!Table1[#All],3,0),"-")</f>
        <v>-</v>
      </c>
      <c r="D19" s="1" t="str">
        <f>IFERROR(VLOOKUP($A19,[33]!Table1[#All],2,0),"-")</f>
        <v>-</v>
      </c>
      <c r="E19" s="3" t="str">
        <f>IFERROR(VLOOKUP($A19,[33]!Table1[#All],3,0),"-")</f>
        <v>-</v>
      </c>
      <c r="F19" s="1" t="str">
        <f>IFERROR(VLOOKUP($A19,[34]!Table2[#All],2,0),"-")</f>
        <v>-</v>
      </c>
      <c r="G19" s="14" t="str">
        <f>IFERROR(VLOOKUP($A19,[34]!Table2[#All],3,0),"-")</f>
        <v>-</v>
      </c>
      <c r="H19" s="1" t="str">
        <f>IFERROR(VLOOKUP($A19,[35]!Table1[#All],2,0),"-")</f>
        <v>-</v>
      </c>
      <c r="I19" s="14" t="str">
        <f>IFERROR(VLOOKUP($A19,[35]!Table1[#All],3,0),"-")</f>
        <v>-</v>
      </c>
      <c r="J19" s="1" t="str">
        <f>IFERROR(VLOOKUP($A19,[36]!Table1[#All],2,0),"-")</f>
        <v>-</v>
      </c>
      <c r="K19" s="14" t="str">
        <f>IFERROR(VLOOKUP($A19,[36]!Table1[#All],3,0),"-")</f>
        <v>-</v>
      </c>
      <c r="L19" s="1" t="str">
        <f>IFERROR(VLOOKUP($A19,[37]!Table1[#All],2,0),"-")</f>
        <v>-</v>
      </c>
      <c r="M19" s="20" t="str">
        <f>IFERROR(VLOOKUP($A19,[37]!Table1[#All],3,0),"-")</f>
        <v>-</v>
      </c>
      <c r="N19" s="1" t="str">
        <f>IFERROR(VLOOKUP($A19,[38]!Table1[#All],2,0),"-")</f>
        <v>-</v>
      </c>
      <c r="O19" s="14" t="str">
        <f>IFERROR(VLOOKUP($A19,[38]!Table1[#All],3,0),"-")</f>
        <v>-</v>
      </c>
      <c r="P19" s="1" t="str">
        <f>IFERROR(VLOOKUP($A19,[39]!Table1[#All],2,0),"-")</f>
        <v>-</v>
      </c>
      <c r="Q19" s="14" t="str">
        <f>IFERROR(VLOOKUP($A19,[39]!Table1[#All],3,0),"-")</f>
        <v>-</v>
      </c>
      <c r="R19" s="1" t="str">
        <f>IFERROR(VLOOKUP($A19,[40]!Table1[#All],2,0),"-")</f>
        <v>-</v>
      </c>
      <c r="S19" s="14" t="str">
        <f>IFERROR(VLOOKUP($A19,[40]!Table1[#All],3,0),"-")</f>
        <v>-</v>
      </c>
      <c r="T19" s="1" t="str">
        <f>IFERROR(VLOOKUP($A19,[41]!Table1[#All],2,0),"-")</f>
        <v>-</v>
      </c>
      <c r="U19" s="14" t="str">
        <f>IFERROR(VLOOKUP($A19,[41]!Table1[#All],3,0),"-")</f>
        <v>-</v>
      </c>
      <c r="V19" s="1" t="str">
        <f>IFERROR(VLOOKUP($A19,[42]!Table1[#All],2,0),"-")</f>
        <v>-</v>
      </c>
      <c r="W19" s="14" t="str">
        <f>IFERROR(VLOOKUP($A19,[42]!Table1[#All],3,0),"-")</f>
        <v>-</v>
      </c>
      <c r="X19" s="1" t="str">
        <f>IFERROR(VLOOKUP($A19,[43]!Table1[#All],2,0),"-")</f>
        <v>-</v>
      </c>
      <c r="Y19" s="14" t="str">
        <f>IFERROR(VLOOKUP($A19,[43]!Table1[#All],3,0),"-")</f>
        <v>-</v>
      </c>
      <c r="Z19" s="1" t="str">
        <f>IFERROR(VLOOKUP($A19,[44]!Table1[#All],2,0),"-")</f>
        <v>-</v>
      </c>
      <c r="AA19" s="14" t="str">
        <f>IFERROR(VLOOKUP($A19,[44]!Table1[#All],3,0),"-")</f>
        <v>-</v>
      </c>
      <c r="AB19" s="1" t="str">
        <f>IFERROR(VLOOKUP($A19,[45]!Table1[#All],2,0),"-")</f>
        <v>-</v>
      </c>
      <c r="AC19" s="14" t="str">
        <f>IFERROR(VLOOKUP($A19,[45]!Table1[#All],3,0),"-")</f>
        <v>-</v>
      </c>
      <c r="AD19" s="1" t="str">
        <f>IFERROR(VLOOKUP($A19,[46]!Table1[#All],2,0),"-")</f>
        <v>-</v>
      </c>
      <c r="AE19" s="20" t="str">
        <f>IFERROR(VLOOKUP($A19,[46]!Table1[#All],3,0),"-")</f>
        <v>-</v>
      </c>
      <c r="AF19" s="1" t="str">
        <f>IFERROR(VLOOKUP($A19,[47]!Table1[#All],2,0),"-")</f>
        <v>-</v>
      </c>
      <c r="AG19" s="14" t="str">
        <f>IFERROR(VLOOKUP($A19,[47]!Table1[#All],3,0),"-")</f>
        <v>-</v>
      </c>
      <c r="AH19" s="1" t="str">
        <f>IFERROR(VLOOKUP($A19,[48]!Table1[#All],2,0),"-")</f>
        <v>-</v>
      </c>
      <c r="AI19" s="14" t="str">
        <f>IFERROR(VLOOKUP($A19,[48]!Table1[#All],3,0),"-")</f>
        <v>-</v>
      </c>
      <c r="AJ19" s="1" t="str">
        <f>IFERROR(VLOOKUP($A19,[49]!Table1[#All],2,0),"-")</f>
        <v>-</v>
      </c>
      <c r="AK19" s="14" t="str">
        <f>IFERROR(VLOOKUP($A19,[49]!Table1[#All],3,0),"-")</f>
        <v>-</v>
      </c>
      <c r="AL19" s="1" t="str">
        <f>IFERROR(VLOOKUP($A19,[50]!Table1[#All],2,0),"-")</f>
        <v>-</v>
      </c>
      <c r="AM19" s="14" t="str">
        <f>IFERROR(VLOOKUP($A19,[50]!Table1[#All],3,0),"-")</f>
        <v>-</v>
      </c>
      <c r="AN19" s="1" t="str">
        <f>IFERROR(VLOOKUP($A19,[51]!Table1[#All],2,0),"-")</f>
        <v>-</v>
      </c>
      <c r="AO19" s="14" t="str">
        <f>IFERROR(VLOOKUP($A19,[51]!Table1[#All],3,0),"-")</f>
        <v>-</v>
      </c>
      <c r="AP19" s="1" t="str">
        <f>IFERROR(VLOOKUP($A19,[52]!Table1[#All],2,0),"-")</f>
        <v>-</v>
      </c>
      <c r="AQ19" s="14" t="str">
        <f>IFERROR(VLOOKUP($A19,[52]!Table1[#All],3,0),"-")</f>
        <v>-</v>
      </c>
      <c r="AR19" s="1" t="str">
        <f>IFERROR(VLOOKUP($A19,[53]!Table1[#All],2,0),"-")</f>
        <v>-</v>
      </c>
      <c r="AS19" s="14" t="str">
        <f>IFERROR(VLOOKUP($A19,[53]!Table1[#All],3,0),"-")</f>
        <v>-</v>
      </c>
      <c r="AT19" s="1" t="str">
        <f>IFERROR(VLOOKUP($A19,[54]!Table1[#All],2,0),"-")</f>
        <v>-</v>
      </c>
      <c r="AU19" s="14" t="str">
        <f>IFERROR(VLOOKUP($A19,[54]!Table1[#All],3,0),"-")</f>
        <v>-</v>
      </c>
      <c r="AV19" s="1" t="str">
        <f>IFERROR(VLOOKUP($A19,[55]!Table1[#All],2,0),"-")</f>
        <v>-</v>
      </c>
      <c r="AW19" s="14" t="str">
        <f>IFERROR(VLOOKUP($A19,[55]!Table1[#All],3,0),"-")</f>
        <v>-</v>
      </c>
      <c r="AX19" s="1" t="str">
        <f>IFERROR(VLOOKUP($A19,[56]!Table1[#All],2,0),"-")</f>
        <v>-</v>
      </c>
      <c r="AY19" s="14" t="str">
        <f>IFERROR(VLOOKUP($A19,[56]!Table1[#All],3,0),"-")</f>
        <v>-</v>
      </c>
      <c r="AZ19" s="1" t="str">
        <f>IFERROR(VLOOKUP($A19,[57]!Table1[#All],2,0),"-")</f>
        <v>-</v>
      </c>
      <c r="BA19" s="14" t="str">
        <f>IFERROR(VLOOKUP($A19,[57]!Table1[#All],3,0),"-")</f>
        <v>-</v>
      </c>
      <c r="BB19" s="1" t="str">
        <f>IFERROR(VLOOKUP($A19,[58]!Table1[#All],2,0),"-")</f>
        <v>-</v>
      </c>
      <c r="BC19" s="14" t="str">
        <f>IFERROR(VLOOKUP($A19,[58]!Table1[#All],3,0),"-")</f>
        <v>-</v>
      </c>
      <c r="BD19" s="1" t="str">
        <f>IFERROR(VLOOKUP($A19,[59]!Table1[#All],2,0),"-")</f>
        <v>-</v>
      </c>
      <c r="BE19" s="14" t="str">
        <f>IFERROR(VLOOKUP($A19,[59]!Table1[#All],3,0),"-")</f>
        <v>-</v>
      </c>
      <c r="BF19" s="1" t="str">
        <f>IFERROR(VLOOKUP($A19,[60]!Table1[#All],2,0),"-")</f>
        <v>-</v>
      </c>
      <c r="BG19" s="14" t="str">
        <f>IFERROR(VLOOKUP($A19,[60]!Table1[#All],3,0),"-")</f>
        <v>-</v>
      </c>
      <c r="BH19" s="1" t="str">
        <f>IFERROR(VLOOKUP($A19,[61]!Table1[#All],2,0),"-")</f>
        <v>-</v>
      </c>
      <c r="BI19" s="14" t="str">
        <f>IFERROR(VLOOKUP($A19,[61]!Table1[#All],3,0),"-")</f>
        <v>-</v>
      </c>
      <c r="BJ19" s="1" t="str">
        <f>IFERROR(VLOOKUP($A19,[62]!Table1[#All],2,0),"-")</f>
        <v>-</v>
      </c>
      <c r="BK19" s="14" t="str">
        <f>IFERROR(VLOOKUP($A19,[62]!Table1[#All],3,0),"-")</f>
        <v>-</v>
      </c>
      <c r="BL19" s="11">
        <f t="shared" si="27"/>
        <v>0</v>
      </c>
      <c r="BM19" s="22">
        <f t="shared" si="28"/>
        <v>0</v>
      </c>
    </row>
    <row r="20" spans="1:65" x14ac:dyDescent="0.2">
      <c r="A20" s="13" t="s">
        <v>14</v>
      </c>
      <c r="B20" s="1" t="str">
        <f>IFERROR(VLOOKUP($A20,[32]!Table1[#All],2,0),"-")</f>
        <v>-</v>
      </c>
      <c r="C20" s="14" t="str">
        <f>IFERROR(VLOOKUP($A20,[32]!Table1[#All],3,0),"-")</f>
        <v>-</v>
      </c>
      <c r="D20" s="1" t="str">
        <f>IFERROR(VLOOKUP($A20,[33]!Table1[#All],2,0),"-")</f>
        <v>-</v>
      </c>
      <c r="E20" s="3" t="str">
        <f>IFERROR(VLOOKUP($A20,[33]!Table1[#All],3,0),"-")</f>
        <v>-</v>
      </c>
      <c r="F20" s="1" t="str">
        <f>IFERROR(VLOOKUP($A20,[34]!Table2[#All],2,0),"-")</f>
        <v>-</v>
      </c>
      <c r="G20" s="14" t="str">
        <f>IFERROR(VLOOKUP($A20,[34]!Table2[#All],3,0),"-")</f>
        <v>-</v>
      </c>
      <c r="H20" s="1" t="str">
        <f>IFERROR(VLOOKUP($A20,[35]!Table1[#All],2,0),"-")</f>
        <v>-</v>
      </c>
      <c r="I20" s="14" t="str">
        <f>IFERROR(VLOOKUP($A20,[35]!Table1[#All],3,0),"-")</f>
        <v>-</v>
      </c>
      <c r="J20" s="1" t="str">
        <f>IFERROR(VLOOKUP($A20,[36]!Table1[#All],2,0),"-")</f>
        <v>-</v>
      </c>
      <c r="K20" s="14" t="str">
        <f>IFERROR(VLOOKUP($A20,[36]!Table1[#All],3,0),"-")</f>
        <v>-</v>
      </c>
      <c r="L20" s="1" t="str">
        <f>IFERROR(VLOOKUP($A20,[37]!Table1[#All],2,0),"-")</f>
        <v>-</v>
      </c>
      <c r="M20" s="20" t="str">
        <f>IFERROR(VLOOKUP($A20,[37]!Table1[#All],3,0),"-")</f>
        <v>-</v>
      </c>
      <c r="N20" s="1" t="str">
        <f>IFERROR(VLOOKUP($A20,[38]!Table1[#All],2,0),"-")</f>
        <v>-</v>
      </c>
      <c r="O20" s="14" t="str">
        <f>IFERROR(VLOOKUP($A20,[38]!Table1[#All],3,0),"-")</f>
        <v>-</v>
      </c>
      <c r="P20" s="1" t="str">
        <f>IFERROR(VLOOKUP($A20,[39]!Table1[#All],2,0),"-")</f>
        <v>-</v>
      </c>
      <c r="Q20" s="14" t="str">
        <f>IFERROR(VLOOKUP($A20,[39]!Table1[#All],3,0),"-")</f>
        <v>-</v>
      </c>
      <c r="R20" s="1" t="str">
        <f>IFERROR(VLOOKUP($A20,[40]!Table1[#All],2,0),"-")</f>
        <v>-</v>
      </c>
      <c r="S20" s="14" t="str">
        <f>IFERROR(VLOOKUP($A20,[40]!Table1[#All],3,0),"-")</f>
        <v>-</v>
      </c>
      <c r="T20" s="1" t="str">
        <f>IFERROR(VLOOKUP($A20,[41]!Table1[#All],2,0),"-")</f>
        <v>-</v>
      </c>
      <c r="U20" s="14" t="str">
        <f>IFERROR(VLOOKUP($A20,[41]!Table1[#All],3,0),"-")</f>
        <v>-</v>
      </c>
      <c r="V20" s="1" t="str">
        <f>IFERROR(VLOOKUP($A20,[42]!Table1[#All],2,0),"-")</f>
        <v>-</v>
      </c>
      <c r="W20" s="14" t="str">
        <f>IFERROR(VLOOKUP($A20,[42]!Table1[#All],3,0),"-")</f>
        <v>-</v>
      </c>
      <c r="X20" s="1" t="str">
        <f>IFERROR(VLOOKUP($A20,[43]!Table1[#All],2,0),"-")</f>
        <v>-</v>
      </c>
      <c r="Y20" s="14" t="str">
        <f>IFERROR(VLOOKUP($A20,[43]!Table1[#All],3,0),"-")</f>
        <v>-</v>
      </c>
      <c r="Z20" s="1" t="str">
        <f>IFERROR(VLOOKUP($A20,[44]!Table1[#All],2,0),"-")</f>
        <v>-</v>
      </c>
      <c r="AA20" s="14" t="str">
        <f>IFERROR(VLOOKUP($A20,[44]!Table1[#All],3,0),"-")</f>
        <v>-</v>
      </c>
      <c r="AB20" s="1" t="str">
        <f>IFERROR(VLOOKUP($A20,[45]!Table1[#All],2,0),"-")</f>
        <v>-</v>
      </c>
      <c r="AC20" s="14" t="str">
        <f>IFERROR(VLOOKUP($A20,[45]!Table1[#All],3,0),"-")</f>
        <v>-</v>
      </c>
      <c r="AD20" s="1" t="str">
        <f>IFERROR(VLOOKUP($A20,[46]!Table1[#All],2,0),"-")</f>
        <v>-</v>
      </c>
      <c r="AE20" s="20" t="str">
        <f>IFERROR(VLOOKUP($A20,[46]!Table1[#All],3,0),"-")</f>
        <v>-</v>
      </c>
      <c r="AF20" s="1" t="str">
        <f>IFERROR(VLOOKUP($A20,[47]!Table1[#All],2,0),"-")</f>
        <v>-</v>
      </c>
      <c r="AG20" s="14" t="str">
        <f>IFERROR(VLOOKUP($A20,[47]!Table1[#All],3,0),"-")</f>
        <v>-</v>
      </c>
      <c r="AH20" s="1" t="str">
        <f>IFERROR(VLOOKUP($A20,[48]!Table1[#All],2,0),"-")</f>
        <v>-</v>
      </c>
      <c r="AI20" s="14" t="str">
        <f>IFERROR(VLOOKUP($A20,[48]!Table1[#All],3,0),"-")</f>
        <v>-</v>
      </c>
      <c r="AJ20" s="1" t="str">
        <f>IFERROR(VLOOKUP($A20,[49]!Table1[#All],2,0),"-")</f>
        <v>-</v>
      </c>
      <c r="AK20" s="14" t="str">
        <f>IFERROR(VLOOKUP($A20,[49]!Table1[#All],3,0),"-")</f>
        <v>-</v>
      </c>
      <c r="AL20" s="1" t="str">
        <f>IFERROR(VLOOKUP($A20,[50]!Table1[#All],2,0),"-")</f>
        <v>-</v>
      </c>
      <c r="AM20" s="14" t="str">
        <f>IFERROR(VLOOKUP($A20,[50]!Table1[#All],3,0),"-")</f>
        <v>-</v>
      </c>
      <c r="AN20" s="1" t="str">
        <f>IFERROR(VLOOKUP($A20,[51]!Table1[#All],2,0),"-")</f>
        <v>-</v>
      </c>
      <c r="AO20" s="14" t="str">
        <f>IFERROR(VLOOKUP($A20,[51]!Table1[#All],3,0),"-")</f>
        <v>-</v>
      </c>
      <c r="AP20" s="1" t="str">
        <f>IFERROR(VLOOKUP($A20,[52]!Table1[#All],2,0),"-")</f>
        <v>-</v>
      </c>
      <c r="AQ20" s="14" t="str">
        <f>IFERROR(VLOOKUP($A20,[52]!Table1[#All],3,0),"-")</f>
        <v>-</v>
      </c>
      <c r="AR20" s="1" t="str">
        <f>IFERROR(VLOOKUP($A20,[53]!Table1[#All],2,0),"-")</f>
        <v>-</v>
      </c>
      <c r="AS20" s="14" t="str">
        <f>IFERROR(VLOOKUP($A20,[53]!Table1[#All],3,0),"-")</f>
        <v>-</v>
      </c>
      <c r="AT20" s="1" t="str">
        <f>IFERROR(VLOOKUP($A20,[54]!Table1[#All],2,0),"-")</f>
        <v>-</v>
      </c>
      <c r="AU20" s="14" t="str">
        <f>IFERROR(VLOOKUP($A20,[54]!Table1[#All],3,0),"-")</f>
        <v>-</v>
      </c>
      <c r="AV20" s="1" t="str">
        <f>IFERROR(VLOOKUP($A20,[55]!Table1[#All],2,0),"-")</f>
        <v>-</v>
      </c>
      <c r="AW20" s="14" t="str">
        <f>IFERROR(VLOOKUP($A20,[55]!Table1[#All],3,0),"-")</f>
        <v>-</v>
      </c>
      <c r="AX20" s="1" t="str">
        <f>IFERROR(VLOOKUP($A20,[56]!Table1[#All],2,0),"-")</f>
        <v>-</v>
      </c>
      <c r="AY20" s="14" t="str">
        <f>IFERROR(VLOOKUP($A20,[56]!Table1[#All],3,0),"-")</f>
        <v>-</v>
      </c>
      <c r="AZ20" s="1" t="str">
        <f>IFERROR(VLOOKUP($A20,[57]!Table1[#All],2,0),"-")</f>
        <v>-</v>
      </c>
      <c r="BA20" s="14" t="str">
        <f>IFERROR(VLOOKUP($A20,[57]!Table1[#All],3,0),"-")</f>
        <v>-</v>
      </c>
      <c r="BB20" s="1" t="str">
        <f>IFERROR(VLOOKUP($A20,[58]!Table1[#All],2,0),"-")</f>
        <v>-</v>
      </c>
      <c r="BC20" s="14" t="str">
        <f>IFERROR(VLOOKUP($A20,[58]!Table1[#All],3,0),"-")</f>
        <v>-</v>
      </c>
      <c r="BD20" s="1" t="str">
        <f>IFERROR(VLOOKUP($A20,[59]!Table1[#All],2,0),"-")</f>
        <v>-</v>
      </c>
      <c r="BE20" s="14" t="str">
        <f>IFERROR(VLOOKUP($A20,[59]!Table1[#All],3,0),"-")</f>
        <v>-</v>
      </c>
      <c r="BF20" s="1" t="str">
        <f>IFERROR(VLOOKUP($A20,[60]!Table1[#All],2,0),"-")</f>
        <v>-</v>
      </c>
      <c r="BG20" s="14" t="str">
        <f>IFERROR(VLOOKUP($A20,[60]!Table1[#All],3,0),"-")</f>
        <v>-</v>
      </c>
      <c r="BH20" s="1" t="str">
        <f>IFERROR(VLOOKUP($A20,[61]!Table1[#All],2,0),"-")</f>
        <v>-</v>
      </c>
      <c r="BI20" s="14" t="str">
        <f>IFERROR(VLOOKUP($A20,[61]!Table1[#All],3,0),"-")</f>
        <v>-</v>
      </c>
      <c r="BJ20" s="1" t="str">
        <f>IFERROR(VLOOKUP($A20,[62]!Table1[#All],2,0),"-")</f>
        <v>-</v>
      </c>
      <c r="BK20" s="14" t="str">
        <f>IFERROR(VLOOKUP($A20,[62]!Table1[#All],3,0),"-")</f>
        <v>-</v>
      </c>
      <c r="BL20" s="11">
        <f t="shared" si="27"/>
        <v>0</v>
      </c>
      <c r="BM20" s="22">
        <f t="shared" si="28"/>
        <v>0</v>
      </c>
    </row>
    <row r="21" spans="1:65" x14ac:dyDescent="0.2">
      <c r="A21" s="4" t="s">
        <v>27</v>
      </c>
      <c r="B21" s="7">
        <f>SUM(B4:B20)</f>
        <v>0</v>
      </c>
      <c r="C21" s="8">
        <f>SUM(C4:C20)</f>
        <v>0</v>
      </c>
      <c r="D21" s="7">
        <f t="shared" ref="D21:BK21" si="29">SUM(D4:D20)</f>
        <v>0</v>
      </c>
      <c r="E21" s="8">
        <f t="shared" si="29"/>
        <v>0</v>
      </c>
      <c r="F21" s="7">
        <f t="shared" si="29"/>
        <v>0</v>
      </c>
      <c r="G21" s="9">
        <f t="shared" si="29"/>
        <v>0</v>
      </c>
      <c r="H21" s="7">
        <f t="shared" si="29"/>
        <v>0</v>
      </c>
      <c r="I21" s="9">
        <f t="shared" si="29"/>
        <v>0</v>
      </c>
      <c r="J21" s="7">
        <f t="shared" si="29"/>
        <v>0</v>
      </c>
      <c r="K21" s="9">
        <f t="shared" si="29"/>
        <v>0</v>
      </c>
      <c r="L21" s="7">
        <f t="shared" si="29"/>
        <v>0</v>
      </c>
      <c r="M21" s="8">
        <f t="shared" si="29"/>
        <v>0</v>
      </c>
      <c r="N21" s="7">
        <f t="shared" si="29"/>
        <v>0</v>
      </c>
      <c r="O21" s="9">
        <f t="shared" si="29"/>
        <v>0</v>
      </c>
      <c r="P21" s="7">
        <f t="shared" si="29"/>
        <v>0</v>
      </c>
      <c r="Q21" s="9">
        <f t="shared" si="29"/>
        <v>0</v>
      </c>
      <c r="R21" s="7">
        <f t="shared" si="29"/>
        <v>0</v>
      </c>
      <c r="S21" s="9">
        <f t="shared" si="29"/>
        <v>0</v>
      </c>
      <c r="T21" s="7">
        <f t="shared" si="29"/>
        <v>0</v>
      </c>
      <c r="U21" s="9">
        <f t="shared" si="29"/>
        <v>0</v>
      </c>
      <c r="V21" s="7">
        <f t="shared" si="29"/>
        <v>0</v>
      </c>
      <c r="W21" s="9">
        <f t="shared" si="29"/>
        <v>0</v>
      </c>
      <c r="X21" s="7">
        <f t="shared" si="29"/>
        <v>0</v>
      </c>
      <c r="Y21" s="9">
        <f t="shared" si="29"/>
        <v>0</v>
      </c>
      <c r="Z21" s="7">
        <f t="shared" si="29"/>
        <v>0</v>
      </c>
      <c r="AA21" s="9">
        <f t="shared" si="29"/>
        <v>0</v>
      </c>
      <c r="AB21" s="7">
        <f t="shared" si="29"/>
        <v>0</v>
      </c>
      <c r="AC21" s="9">
        <f t="shared" si="29"/>
        <v>0</v>
      </c>
      <c r="AD21" s="7">
        <f t="shared" si="29"/>
        <v>0</v>
      </c>
      <c r="AE21" s="8">
        <f t="shared" si="29"/>
        <v>0</v>
      </c>
      <c r="AF21" s="7">
        <f t="shared" si="29"/>
        <v>0</v>
      </c>
      <c r="AG21" s="9">
        <f t="shared" si="29"/>
        <v>0</v>
      </c>
      <c r="AH21" s="7">
        <f t="shared" si="29"/>
        <v>0</v>
      </c>
      <c r="AI21" s="9">
        <f t="shared" si="29"/>
        <v>0</v>
      </c>
      <c r="AJ21" s="7">
        <f t="shared" si="29"/>
        <v>0</v>
      </c>
      <c r="AK21" s="9">
        <f t="shared" si="29"/>
        <v>0</v>
      </c>
      <c r="AL21" s="7">
        <f t="shared" si="29"/>
        <v>0</v>
      </c>
      <c r="AM21" s="9">
        <f t="shared" si="29"/>
        <v>0</v>
      </c>
      <c r="AN21" s="7">
        <f t="shared" si="29"/>
        <v>0</v>
      </c>
      <c r="AO21" s="9">
        <f t="shared" si="29"/>
        <v>0</v>
      </c>
      <c r="AP21" s="7">
        <f t="shared" si="29"/>
        <v>0</v>
      </c>
      <c r="AQ21" s="9">
        <f t="shared" si="29"/>
        <v>0</v>
      </c>
      <c r="AR21" s="7">
        <f t="shared" si="29"/>
        <v>0</v>
      </c>
      <c r="AS21" s="9">
        <f t="shared" si="29"/>
        <v>0</v>
      </c>
      <c r="AT21" s="7">
        <f t="shared" si="29"/>
        <v>0</v>
      </c>
      <c r="AU21" s="9">
        <f t="shared" si="29"/>
        <v>0</v>
      </c>
      <c r="AV21" s="7">
        <f t="shared" si="29"/>
        <v>0</v>
      </c>
      <c r="AW21" s="9">
        <f t="shared" si="29"/>
        <v>0</v>
      </c>
      <c r="AX21" s="7">
        <f t="shared" si="29"/>
        <v>0</v>
      </c>
      <c r="AY21" s="9">
        <f t="shared" si="29"/>
        <v>0</v>
      </c>
      <c r="AZ21" s="7">
        <f t="shared" si="29"/>
        <v>0</v>
      </c>
      <c r="BA21" s="9">
        <f t="shared" si="29"/>
        <v>0</v>
      </c>
      <c r="BB21" s="7">
        <f t="shared" si="29"/>
        <v>0</v>
      </c>
      <c r="BC21" s="9">
        <f t="shared" si="29"/>
        <v>0</v>
      </c>
      <c r="BD21" s="7">
        <f t="shared" si="29"/>
        <v>0</v>
      </c>
      <c r="BE21" s="9">
        <f t="shared" si="29"/>
        <v>0</v>
      </c>
      <c r="BF21" s="7">
        <f t="shared" si="29"/>
        <v>0</v>
      </c>
      <c r="BG21" s="9">
        <f t="shared" si="29"/>
        <v>0</v>
      </c>
      <c r="BH21" s="7">
        <f t="shared" si="29"/>
        <v>0</v>
      </c>
      <c r="BI21" s="9">
        <f t="shared" si="29"/>
        <v>0</v>
      </c>
      <c r="BJ21" s="7">
        <f t="shared" si="29"/>
        <v>0</v>
      </c>
      <c r="BK21" s="9">
        <f t="shared" si="29"/>
        <v>0</v>
      </c>
      <c r="BL21" s="39">
        <f>SUM(BL4:BL20)</f>
        <v>0</v>
      </c>
      <c r="BM21" s="9">
        <f>SUM(BM4:BM20)</f>
        <v>0</v>
      </c>
    </row>
  </sheetData>
  <mergeCells count="64">
    <mergeCell ref="V1:W1"/>
    <mergeCell ref="A1:A3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H1:BI1"/>
    <mergeCell ref="BJ1:BK1"/>
    <mergeCell ref="BL1:BM2"/>
    <mergeCell ref="B2:C2"/>
    <mergeCell ref="D2:E2"/>
    <mergeCell ref="F2:G2"/>
    <mergeCell ref="H2:I2"/>
    <mergeCell ref="J2:K2"/>
    <mergeCell ref="L2:M2"/>
    <mergeCell ref="N2:O2"/>
    <mergeCell ref="AV1:AW1"/>
    <mergeCell ref="AX1:AY1"/>
    <mergeCell ref="AZ1:BA1"/>
    <mergeCell ref="BB1:BC1"/>
    <mergeCell ref="BD1:BE1"/>
    <mergeCell ref="BF1:BG1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J2:BK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</mergeCells>
  <phoneticPr fontId="3" type="noConversion"/>
  <pageMargins left="0.7" right="0.7" top="0.75" bottom="0.75" header="0.3" footer="0.3"/>
  <ignoredErrors>
    <ignoredError sqref="F21 G21:BM21 B21:C21" calculatedColumn="1"/>
  </ignoredErrors>
  <tableParts count="3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810F-ECEE-47C0-BA24-BACA61D6FC92}">
  <sheetPr filterMode="1"/>
  <dimension ref="A1:F237"/>
  <sheetViews>
    <sheetView workbookViewId="0">
      <selection activeCell="I13" sqref="I13"/>
    </sheetView>
  </sheetViews>
  <sheetFormatPr defaultColWidth="8.7421875" defaultRowHeight="15" x14ac:dyDescent="0.2"/>
  <cols>
    <col min="1" max="1" width="10.0859375" style="1" bestFit="1" customWidth="1"/>
    <col min="2" max="2" width="10.625" style="1" bestFit="1" customWidth="1"/>
    <col min="3" max="3" width="10.22265625" style="1" bestFit="1" customWidth="1"/>
    <col min="4" max="4" width="13.31640625" style="1" bestFit="1" customWidth="1"/>
    <col min="5" max="5" width="11.8359375" style="1" bestFit="1" customWidth="1"/>
    <col min="6" max="6" width="10.4921875" style="1" bestFit="1" customWidth="1"/>
    <col min="7" max="16384" width="8.7421875" style="1"/>
  </cols>
  <sheetData>
    <row r="1" spans="1:6" x14ac:dyDescent="0.2">
      <c r="A1" s="29" t="s">
        <v>29</v>
      </c>
      <c r="B1" s="7" t="s">
        <v>30</v>
      </c>
      <c r="C1" s="7" t="s">
        <v>31</v>
      </c>
      <c r="D1" s="7" t="s">
        <v>8</v>
      </c>
      <c r="E1" s="7" t="s">
        <v>32</v>
      </c>
      <c r="F1" s="30" t="s">
        <v>33</v>
      </c>
    </row>
    <row r="2" spans="1:6" x14ac:dyDescent="0.2">
      <c r="A2" s="31">
        <v>44470</v>
      </c>
      <c r="B2" s="40" t="s">
        <v>20</v>
      </c>
      <c r="C2" s="1" t="s">
        <v>37</v>
      </c>
      <c r="D2" s="35" t="s">
        <v>5</v>
      </c>
      <c r="E2" s="35">
        <v>2</v>
      </c>
      <c r="F2" s="36">
        <v>95.999904000000015</v>
      </c>
    </row>
    <row r="3" spans="1:6" x14ac:dyDescent="0.2">
      <c r="A3" s="31">
        <v>44471</v>
      </c>
      <c r="B3" s="40" t="s">
        <v>21</v>
      </c>
      <c r="C3" s="1" t="s">
        <v>37</v>
      </c>
      <c r="D3" s="37" t="s">
        <v>6</v>
      </c>
      <c r="E3" s="37">
        <v>9</v>
      </c>
      <c r="F3" s="45">
        <v>110.00028</v>
      </c>
    </row>
    <row r="4" spans="1:6" x14ac:dyDescent="0.2">
      <c r="A4" s="31">
        <v>44470</v>
      </c>
      <c r="B4" s="40" t="s">
        <v>20</v>
      </c>
      <c r="C4" s="1" t="s">
        <v>37</v>
      </c>
      <c r="D4" s="37" t="s">
        <v>1</v>
      </c>
      <c r="E4" s="37">
        <v>6</v>
      </c>
      <c r="F4" s="38">
        <v>250.00001800000001</v>
      </c>
    </row>
    <row r="5" spans="1:6" x14ac:dyDescent="0.2">
      <c r="A5" s="31">
        <v>44470</v>
      </c>
      <c r="B5" s="40" t="s">
        <v>20</v>
      </c>
      <c r="C5" s="1" t="s">
        <v>37</v>
      </c>
      <c r="D5" s="37" t="s">
        <v>11</v>
      </c>
      <c r="E5" s="37">
        <v>9</v>
      </c>
      <c r="F5" s="38">
        <v>48</v>
      </c>
    </row>
    <row r="6" spans="1:6" x14ac:dyDescent="0.2">
      <c r="A6" s="31">
        <v>44470</v>
      </c>
      <c r="B6" s="40" t="s">
        <v>20</v>
      </c>
      <c r="C6" s="1" t="s">
        <v>37</v>
      </c>
      <c r="D6" s="37" t="s">
        <v>16</v>
      </c>
      <c r="E6" s="37">
        <v>47</v>
      </c>
      <c r="F6" s="38">
        <v>1351.0000350000003</v>
      </c>
    </row>
    <row r="7" spans="1:6" x14ac:dyDescent="0.2">
      <c r="A7" s="31">
        <v>44470</v>
      </c>
      <c r="B7" s="40" t="s">
        <v>20</v>
      </c>
      <c r="C7" s="1" t="s">
        <v>37</v>
      </c>
      <c r="D7" s="37" t="s">
        <v>0</v>
      </c>
      <c r="E7" s="37">
        <v>1</v>
      </c>
      <c r="F7" s="38">
        <v>230.00005399999998</v>
      </c>
    </row>
    <row r="8" spans="1:6" x14ac:dyDescent="0.2">
      <c r="A8" s="31">
        <v>44470</v>
      </c>
      <c r="B8" s="40" t="s">
        <v>20</v>
      </c>
      <c r="C8" s="1" t="s">
        <v>37</v>
      </c>
      <c r="D8" s="37" t="s">
        <v>50</v>
      </c>
      <c r="E8" s="37">
        <v>10</v>
      </c>
      <c r="F8" s="38">
        <v>640.00002999999992</v>
      </c>
    </row>
    <row r="9" spans="1:6" x14ac:dyDescent="0.2">
      <c r="A9" s="31">
        <v>44470</v>
      </c>
      <c r="B9" s="40" t="s">
        <v>20</v>
      </c>
      <c r="C9" s="1" t="s">
        <v>37</v>
      </c>
      <c r="D9" s="37" t="s">
        <v>7</v>
      </c>
      <c r="E9" s="37">
        <v>1</v>
      </c>
      <c r="F9" s="38">
        <v>89.999951999999993</v>
      </c>
    </row>
    <row r="10" spans="1:6" x14ac:dyDescent="0.2">
      <c r="A10" s="31">
        <v>44470</v>
      </c>
      <c r="B10" s="40" t="s">
        <v>20</v>
      </c>
      <c r="C10" s="1" t="s">
        <v>37</v>
      </c>
      <c r="D10" s="37" t="s">
        <v>13</v>
      </c>
      <c r="E10" s="37">
        <v>9</v>
      </c>
      <c r="F10" s="38">
        <v>675</v>
      </c>
    </row>
    <row r="11" spans="1:6" x14ac:dyDescent="0.2">
      <c r="A11" s="31">
        <v>44470</v>
      </c>
      <c r="B11" s="40" t="s">
        <v>20</v>
      </c>
      <c r="C11" s="1" t="s">
        <v>37</v>
      </c>
      <c r="D11" s="37" t="s">
        <v>12</v>
      </c>
      <c r="E11" s="37">
        <v>10</v>
      </c>
      <c r="F11" s="38">
        <v>200.00001</v>
      </c>
    </row>
    <row r="12" spans="1:6" x14ac:dyDescent="0.2">
      <c r="A12" s="31">
        <v>44471</v>
      </c>
      <c r="B12" s="40" t="s">
        <v>21</v>
      </c>
      <c r="C12" s="1" t="s">
        <v>37</v>
      </c>
      <c r="D12" s="1" t="s">
        <v>5</v>
      </c>
      <c r="E12" s="1">
        <v>16</v>
      </c>
      <c r="F12" s="32">
        <v>915.99995200000001</v>
      </c>
    </row>
    <row r="13" spans="1:6" x14ac:dyDescent="0.2">
      <c r="A13" s="31">
        <v>44471</v>
      </c>
      <c r="B13" s="40" t="s">
        <v>21</v>
      </c>
      <c r="C13" s="1" t="s">
        <v>37</v>
      </c>
      <c r="D13" s="1" t="s">
        <v>2</v>
      </c>
      <c r="E13" s="1">
        <v>4</v>
      </c>
      <c r="F13" s="32">
        <v>60.000050000000009</v>
      </c>
    </row>
    <row r="14" spans="1:6" x14ac:dyDescent="0.2">
      <c r="A14" s="31">
        <v>44490</v>
      </c>
      <c r="B14" s="40" t="s">
        <v>26</v>
      </c>
      <c r="C14" s="1" t="s">
        <v>39</v>
      </c>
      <c r="D14" s="1" t="s">
        <v>6</v>
      </c>
      <c r="E14" s="1">
        <v>27</v>
      </c>
      <c r="F14" s="32">
        <v>1058</v>
      </c>
    </row>
    <row r="15" spans="1:6" x14ac:dyDescent="0.2">
      <c r="A15" s="31">
        <v>44471</v>
      </c>
      <c r="B15" s="40" t="s">
        <v>21</v>
      </c>
      <c r="C15" s="1" t="s">
        <v>37</v>
      </c>
      <c r="D15" s="1" t="s">
        <v>1</v>
      </c>
      <c r="E15" s="1">
        <v>12</v>
      </c>
      <c r="F15" s="32">
        <v>190.00007800000003</v>
      </c>
    </row>
    <row r="16" spans="1:6" x14ac:dyDescent="0.2">
      <c r="A16" s="31">
        <v>44471</v>
      </c>
      <c r="B16" s="40" t="s">
        <v>21</v>
      </c>
      <c r="C16" s="1" t="s">
        <v>37</v>
      </c>
      <c r="D16" s="1" t="s">
        <v>11</v>
      </c>
      <c r="E16" s="1">
        <v>75</v>
      </c>
      <c r="F16" s="32">
        <v>440</v>
      </c>
    </row>
    <row r="17" spans="1:6" x14ac:dyDescent="0.2">
      <c r="A17" s="31">
        <v>44471</v>
      </c>
      <c r="B17" s="40" t="s">
        <v>21</v>
      </c>
      <c r="C17" s="1" t="s">
        <v>37</v>
      </c>
      <c r="D17" s="1" t="s">
        <v>16</v>
      </c>
      <c r="E17" s="1">
        <v>3</v>
      </c>
      <c r="F17" s="32">
        <v>86.999850000000009</v>
      </c>
    </row>
    <row r="18" spans="1:6" x14ac:dyDescent="0.2">
      <c r="A18" s="31">
        <v>44471</v>
      </c>
      <c r="B18" s="40" t="s">
        <v>21</v>
      </c>
      <c r="C18" s="1" t="s">
        <v>37</v>
      </c>
      <c r="D18" s="1" t="s">
        <v>0</v>
      </c>
      <c r="E18" s="1">
        <v>5</v>
      </c>
      <c r="F18" s="32">
        <v>115.00008600000001</v>
      </c>
    </row>
    <row r="19" spans="1:6" x14ac:dyDescent="0.2">
      <c r="A19" s="31">
        <v>44471</v>
      </c>
      <c r="B19" s="40" t="s">
        <v>21</v>
      </c>
      <c r="C19" s="1" t="s">
        <v>37</v>
      </c>
      <c r="D19" s="37" t="s">
        <v>50</v>
      </c>
      <c r="E19" s="1">
        <v>3</v>
      </c>
      <c r="F19" s="32">
        <v>120</v>
      </c>
    </row>
    <row r="20" spans="1:6" x14ac:dyDescent="0.2">
      <c r="A20" s="31">
        <v>44471</v>
      </c>
      <c r="B20" s="40" t="s">
        <v>21</v>
      </c>
      <c r="C20" s="1" t="s">
        <v>37</v>
      </c>
      <c r="D20" s="1" t="s">
        <v>7</v>
      </c>
      <c r="E20" s="1">
        <v>8</v>
      </c>
      <c r="F20" s="32">
        <v>638.99998400000004</v>
      </c>
    </row>
    <row r="21" spans="1:6" x14ac:dyDescent="0.2">
      <c r="A21" s="31">
        <v>44472</v>
      </c>
      <c r="B21" s="40" t="s">
        <v>22</v>
      </c>
      <c r="C21" s="1" t="s">
        <v>37</v>
      </c>
      <c r="D21" s="1" t="s">
        <v>5</v>
      </c>
      <c r="E21" s="1">
        <v>1</v>
      </c>
      <c r="F21" s="32">
        <v>112</v>
      </c>
    </row>
    <row r="22" spans="1:6" x14ac:dyDescent="0.2">
      <c r="A22" s="31">
        <v>44472</v>
      </c>
      <c r="B22" s="40" t="s">
        <v>22</v>
      </c>
      <c r="C22" s="1" t="s">
        <v>37</v>
      </c>
      <c r="D22" s="1" t="s">
        <v>2</v>
      </c>
      <c r="E22" s="1">
        <v>2</v>
      </c>
      <c r="F22" s="32">
        <v>30.000084000000001</v>
      </c>
    </row>
    <row r="23" spans="1:6" x14ac:dyDescent="0.2">
      <c r="A23" s="31">
        <v>44472</v>
      </c>
      <c r="B23" s="40" t="s">
        <v>22</v>
      </c>
      <c r="C23" s="1" t="s">
        <v>37</v>
      </c>
      <c r="D23" s="1" t="s">
        <v>13</v>
      </c>
      <c r="E23" s="1">
        <v>2</v>
      </c>
      <c r="F23" s="32">
        <v>150</v>
      </c>
    </row>
    <row r="24" spans="1:6" x14ac:dyDescent="0.2">
      <c r="A24" s="31">
        <v>44472</v>
      </c>
      <c r="B24" s="40" t="s">
        <v>22</v>
      </c>
      <c r="C24" s="1" t="s">
        <v>37</v>
      </c>
      <c r="D24" s="1" t="s">
        <v>6</v>
      </c>
      <c r="E24" s="1">
        <v>1</v>
      </c>
      <c r="F24" s="32">
        <v>20.000056000000001</v>
      </c>
    </row>
    <row r="25" spans="1:6" x14ac:dyDescent="0.2">
      <c r="A25" s="31">
        <v>44472</v>
      </c>
      <c r="B25" s="40" t="s">
        <v>22</v>
      </c>
      <c r="C25" s="1" t="s">
        <v>37</v>
      </c>
      <c r="D25" s="1" t="s">
        <v>11</v>
      </c>
      <c r="E25" s="1">
        <v>34</v>
      </c>
      <c r="F25" s="32">
        <v>187</v>
      </c>
    </row>
    <row r="26" spans="1:6" x14ac:dyDescent="0.2">
      <c r="A26" s="31">
        <v>44472</v>
      </c>
      <c r="B26" s="40" t="s">
        <v>22</v>
      </c>
      <c r="C26" s="1" t="s">
        <v>37</v>
      </c>
      <c r="D26" s="1" t="s">
        <v>16</v>
      </c>
      <c r="E26" s="1">
        <v>24</v>
      </c>
      <c r="F26" s="32">
        <v>684.00003000000015</v>
      </c>
    </row>
    <row r="27" spans="1:6" x14ac:dyDescent="0.2">
      <c r="A27" s="31">
        <v>44472</v>
      </c>
      <c r="B27" s="40" t="s">
        <v>22</v>
      </c>
      <c r="C27" s="1" t="s">
        <v>37</v>
      </c>
      <c r="D27" s="37" t="s">
        <v>50</v>
      </c>
      <c r="E27" s="1">
        <v>4</v>
      </c>
      <c r="F27" s="32">
        <v>389.99993600000005</v>
      </c>
    </row>
    <row r="28" spans="1:6" x14ac:dyDescent="0.2">
      <c r="A28" s="31">
        <v>44472</v>
      </c>
      <c r="B28" s="40" t="s">
        <v>22</v>
      </c>
      <c r="C28" s="1" t="s">
        <v>37</v>
      </c>
      <c r="D28" s="1" t="s">
        <v>7</v>
      </c>
      <c r="E28" s="1">
        <v>2</v>
      </c>
      <c r="F28" s="32">
        <v>146.00006400000001</v>
      </c>
    </row>
    <row r="29" spans="1:6" x14ac:dyDescent="0.2">
      <c r="A29" s="31">
        <v>44473</v>
      </c>
      <c r="B29" s="40" t="s">
        <v>23</v>
      </c>
      <c r="C29" s="1" t="s">
        <v>37</v>
      </c>
      <c r="D29" s="1" t="s">
        <v>5</v>
      </c>
      <c r="E29" s="1">
        <v>2</v>
      </c>
      <c r="F29" s="32">
        <v>127.00004800000001</v>
      </c>
    </row>
    <row r="30" spans="1:6" x14ac:dyDescent="0.2">
      <c r="A30" s="31">
        <v>44473</v>
      </c>
      <c r="B30" s="40" t="s">
        <v>23</v>
      </c>
      <c r="C30" s="1" t="s">
        <v>37</v>
      </c>
      <c r="D30" s="1" t="s">
        <v>2</v>
      </c>
      <c r="E30" s="1">
        <v>2</v>
      </c>
      <c r="F30" s="32">
        <v>30.000084000000001</v>
      </c>
    </row>
    <row r="31" spans="1:6" x14ac:dyDescent="0.2">
      <c r="A31" s="31">
        <v>44473</v>
      </c>
      <c r="B31" s="40" t="s">
        <v>23</v>
      </c>
      <c r="C31" s="1" t="s">
        <v>37</v>
      </c>
      <c r="D31" s="1" t="s">
        <v>13</v>
      </c>
      <c r="E31" s="1">
        <v>2</v>
      </c>
      <c r="F31" s="32">
        <v>150</v>
      </c>
    </row>
    <row r="32" spans="1:6" x14ac:dyDescent="0.2">
      <c r="A32" s="31">
        <v>44473</v>
      </c>
      <c r="B32" s="40" t="s">
        <v>23</v>
      </c>
      <c r="C32" s="1" t="s">
        <v>37</v>
      </c>
      <c r="D32" s="1" t="s">
        <v>17</v>
      </c>
      <c r="E32" s="1">
        <v>24</v>
      </c>
      <c r="F32" s="32">
        <v>229.20001400000001</v>
      </c>
    </row>
    <row r="33" spans="1:6" x14ac:dyDescent="0.2">
      <c r="A33" s="31">
        <v>44473</v>
      </c>
      <c r="B33" s="40" t="s">
        <v>23</v>
      </c>
      <c r="C33" s="1" t="s">
        <v>37</v>
      </c>
      <c r="D33" s="1" t="s">
        <v>6</v>
      </c>
      <c r="E33" s="1">
        <v>18</v>
      </c>
      <c r="F33" s="32">
        <v>510.00036600000004</v>
      </c>
    </row>
    <row r="34" spans="1:6" x14ac:dyDescent="0.2">
      <c r="A34" s="31">
        <v>44473</v>
      </c>
      <c r="B34" s="40" t="s">
        <v>23</v>
      </c>
      <c r="C34" s="1" t="s">
        <v>37</v>
      </c>
      <c r="D34" s="1" t="s">
        <v>1</v>
      </c>
      <c r="E34" s="1">
        <v>45</v>
      </c>
      <c r="F34" s="32">
        <v>575.00030400000003</v>
      </c>
    </row>
    <row r="35" spans="1:6" x14ac:dyDescent="0.2">
      <c r="A35" s="31">
        <v>44473</v>
      </c>
      <c r="B35" s="40" t="s">
        <v>23</v>
      </c>
      <c r="C35" s="1" t="s">
        <v>37</v>
      </c>
      <c r="D35" s="1" t="s">
        <v>11</v>
      </c>
      <c r="E35" s="1">
        <v>10</v>
      </c>
      <c r="F35" s="32">
        <v>55</v>
      </c>
    </row>
    <row r="36" spans="1:6" x14ac:dyDescent="0.2">
      <c r="A36" s="31">
        <v>44473</v>
      </c>
      <c r="B36" s="40" t="s">
        <v>23</v>
      </c>
      <c r="C36" s="1" t="s">
        <v>37</v>
      </c>
      <c r="D36" s="1" t="s">
        <v>16</v>
      </c>
      <c r="E36" s="1">
        <v>9</v>
      </c>
      <c r="F36" s="32">
        <v>253.99983000000003</v>
      </c>
    </row>
    <row r="37" spans="1:6" x14ac:dyDescent="0.2">
      <c r="A37" s="31">
        <v>44473</v>
      </c>
      <c r="B37" s="40" t="s">
        <v>23</v>
      </c>
      <c r="C37" s="1" t="s">
        <v>37</v>
      </c>
      <c r="D37" s="1" t="s">
        <v>0</v>
      </c>
      <c r="E37" s="1">
        <v>4</v>
      </c>
      <c r="F37" s="32">
        <v>85.000119999999995</v>
      </c>
    </row>
    <row r="38" spans="1:6" x14ac:dyDescent="0.2">
      <c r="A38" s="31">
        <v>44473</v>
      </c>
      <c r="B38" s="40" t="s">
        <v>23</v>
      </c>
      <c r="C38" s="1" t="s">
        <v>37</v>
      </c>
      <c r="D38" s="37" t="s">
        <v>50</v>
      </c>
      <c r="E38" s="1">
        <v>19</v>
      </c>
      <c r="F38" s="32">
        <v>1280.0000399999999</v>
      </c>
    </row>
    <row r="39" spans="1:6" x14ac:dyDescent="0.2">
      <c r="A39" s="31">
        <v>44473</v>
      </c>
      <c r="B39" s="40" t="s">
        <v>23</v>
      </c>
      <c r="C39" s="1" t="s">
        <v>37</v>
      </c>
      <c r="D39" s="1" t="s">
        <v>7</v>
      </c>
      <c r="E39" s="1">
        <v>12</v>
      </c>
      <c r="F39" s="32">
        <v>385.00002200000006</v>
      </c>
    </row>
    <row r="40" spans="1:6" x14ac:dyDescent="0.2">
      <c r="A40" s="31">
        <v>44474</v>
      </c>
      <c r="B40" s="40" t="s">
        <v>24</v>
      </c>
      <c r="C40" s="1" t="s">
        <v>37</v>
      </c>
      <c r="D40" s="1" t="s">
        <v>5</v>
      </c>
      <c r="E40" s="1">
        <v>8</v>
      </c>
      <c r="F40" s="32">
        <v>224.000224</v>
      </c>
    </row>
    <row r="41" spans="1:6" x14ac:dyDescent="0.2">
      <c r="A41" s="31">
        <v>44474</v>
      </c>
      <c r="B41" s="40" t="s">
        <v>24</v>
      </c>
      <c r="C41" s="1" t="s">
        <v>37</v>
      </c>
      <c r="D41" s="1" t="s">
        <v>13</v>
      </c>
      <c r="E41" s="1">
        <v>3</v>
      </c>
      <c r="F41" s="32">
        <v>225</v>
      </c>
    </row>
    <row r="42" spans="1:6" x14ac:dyDescent="0.2">
      <c r="A42" s="31">
        <v>44474</v>
      </c>
      <c r="B42" s="40" t="s">
        <v>24</v>
      </c>
      <c r="C42" s="1" t="s">
        <v>37</v>
      </c>
      <c r="D42" s="13" t="s">
        <v>6</v>
      </c>
      <c r="E42" s="13">
        <v>38</v>
      </c>
      <c r="F42" s="47">
        <v>775.00011999999992</v>
      </c>
    </row>
    <row r="43" spans="1:6" x14ac:dyDescent="0.2">
      <c r="A43" s="31">
        <v>44474</v>
      </c>
      <c r="B43" s="40" t="s">
        <v>24</v>
      </c>
      <c r="C43" s="1" t="s">
        <v>37</v>
      </c>
      <c r="D43" s="1" t="s">
        <v>1</v>
      </c>
      <c r="E43" s="1">
        <v>10</v>
      </c>
      <c r="F43" s="32">
        <v>360.00027800000004</v>
      </c>
    </row>
    <row r="44" spans="1:6" x14ac:dyDescent="0.2">
      <c r="A44" s="31">
        <v>44474</v>
      </c>
      <c r="B44" s="40" t="s">
        <v>24</v>
      </c>
      <c r="C44" s="1" t="s">
        <v>37</v>
      </c>
      <c r="D44" s="1" t="s">
        <v>11</v>
      </c>
      <c r="E44" s="1">
        <v>49</v>
      </c>
      <c r="F44" s="32">
        <v>297</v>
      </c>
    </row>
    <row r="45" spans="1:6" x14ac:dyDescent="0.2">
      <c r="A45" s="31">
        <v>44474</v>
      </c>
      <c r="B45" s="40" t="s">
        <v>24</v>
      </c>
      <c r="C45" s="1" t="s">
        <v>37</v>
      </c>
      <c r="D45" s="1" t="s">
        <v>16</v>
      </c>
      <c r="E45" s="1">
        <v>66</v>
      </c>
      <c r="F45" s="32">
        <v>1730.000055</v>
      </c>
    </row>
    <row r="46" spans="1:6" x14ac:dyDescent="0.2">
      <c r="A46" s="31">
        <v>44474</v>
      </c>
      <c r="B46" s="40" t="s">
        <v>24</v>
      </c>
      <c r="C46" s="1" t="s">
        <v>37</v>
      </c>
      <c r="D46" s="1" t="s">
        <v>0</v>
      </c>
      <c r="E46" s="1">
        <v>8</v>
      </c>
      <c r="F46" s="32">
        <v>210.00011600000005</v>
      </c>
    </row>
    <row r="47" spans="1:6" x14ac:dyDescent="0.2">
      <c r="A47" s="31">
        <v>44474</v>
      </c>
      <c r="B47" s="40" t="s">
        <v>24</v>
      </c>
      <c r="C47" s="1" t="s">
        <v>37</v>
      </c>
      <c r="D47" s="37" t="s">
        <v>50</v>
      </c>
      <c r="E47" s="1">
        <v>11</v>
      </c>
      <c r="F47" s="32">
        <v>806.000045</v>
      </c>
    </row>
    <row r="48" spans="1:6" x14ac:dyDescent="0.2">
      <c r="A48" s="31">
        <v>44474</v>
      </c>
      <c r="B48" s="40" t="s">
        <v>24</v>
      </c>
      <c r="C48" s="1" t="s">
        <v>37</v>
      </c>
      <c r="D48" s="1" t="s">
        <v>7</v>
      </c>
      <c r="E48" s="1">
        <v>2</v>
      </c>
      <c r="F48" s="32">
        <v>47.999952000000008</v>
      </c>
    </row>
    <row r="49" spans="1:6" x14ac:dyDescent="0.2">
      <c r="A49" s="31">
        <v>44475</v>
      </c>
      <c r="B49" s="40" t="s">
        <v>25</v>
      </c>
      <c r="C49" s="1" t="s">
        <v>37</v>
      </c>
      <c r="D49" s="1" t="s">
        <v>13</v>
      </c>
      <c r="E49" s="1">
        <v>2</v>
      </c>
      <c r="F49" s="32">
        <v>150</v>
      </c>
    </row>
    <row r="50" spans="1:6" x14ac:dyDescent="0.2">
      <c r="A50" s="31">
        <v>44475</v>
      </c>
      <c r="B50" s="40" t="s">
        <v>25</v>
      </c>
      <c r="C50" s="1" t="s">
        <v>37</v>
      </c>
      <c r="D50" s="1" t="s">
        <v>15</v>
      </c>
      <c r="E50" s="1">
        <v>3</v>
      </c>
      <c r="F50" s="32">
        <v>30</v>
      </c>
    </row>
    <row r="51" spans="1:6" x14ac:dyDescent="0.2">
      <c r="A51" s="31">
        <v>44475</v>
      </c>
      <c r="B51" s="40" t="s">
        <v>25</v>
      </c>
      <c r="C51" s="1" t="s">
        <v>37</v>
      </c>
      <c r="D51" s="1" t="s">
        <v>6</v>
      </c>
      <c r="E51" s="1">
        <v>9</v>
      </c>
      <c r="F51" s="32">
        <v>250</v>
      </c>
    </row>
    <row r="52" spans="1:6" x14ac:dyDescent="0.2">
      <c r="A52" s="31">
        <v>44475</v>
      </c>
      <c r="B52" s="40" t="s">
        <v>25</v>
      </c>
      <c r="C52" s="1" t="s">
        <v>37</v>
      </c>
      <c r="D52" s="1" t="s">
        <v>1</v>
      </c>
      <c r="E52" s="1">
        <v>2</v>
      </c>
      <c r="F52" s="32">
        <v>50</v>
      </c>
    </row>
    <row r="53" spans="1:6" x14ac:dyDescent="0.2">
      <c r="A53" s="31">
        <v>44475</v>
      </c>
      <c r="B53" s="40" t="s">
        <v>25</v>
      </c>
      <c r="C53" s="1" t="s">
        <v>37</v>
      </c>
      <c r="D53" s="1" t="s">
        <v>11</v>
      </c>
      <c r="E53" s="1">
        <v>36</v>
      </c>
      <c r="F53" s="32">
        <v>198</v>
      </c>
    </row>
    <row r="54" spans="1:6" x14ac:dyDescent="0.2">
      <c r="A54" s="31">
        <v>44475</v>
      </c>
      <c r="B54" s="40" t="s">
        <v>25</v>
      </c>
      <c r="C54" s="1" t="s">
        <v>37</v>
      </c>
      <c r="D54" s="1" t="s">
        <v>16</v>
      </c>
      <c r="E54" s="1">
        <v>25</v>
      </c>
      <c r="F54" s="32">
        <v>650</v>
      </c>
    </row>
    <row r="55" spans="1:6" x14ac:dyDescent="0.2">
      <c r="A55" s="31">
        <v>44475</v>
      </c>
      <c r="B55" s="40" t="s">
        <v>25</v>
      </c>
      <c r="C55" s="1" t="s">
        <v>37</v>
      </c>
      <c r="D55" s="1" t="s">
        <v>0</v>
      </c>
      <c r="E55" s="1">
        <v>28</v>
      </c>
      <c r="F55" s="32">
        <v>728</v>
      </c>
    </row>
    <row r="56" spans="1:6" x14ac:dyDescent="0.2">
      <c r="A56" s="31">
        <v>44475</v>
      </c>
      <c r="B56" s="40" t="s">
        <v>25</v>
      </c>
      <c r="C56" s="1" t="s">
        <v>37</v>
      </c>
      <c r="D56" s="37" t="s">
        <v>50</v>
      </c>
      <c r="E56" s="1">
        <v>12</v>
      </c>
      <c r="F56" s="32">
        <v>500</v>
      </c>
    </row>
    <row r="57" spans="1:6" x14ac:dyDescent="0.2">
      <c r="A57" s="31">
        <v>44475</v>
      </c>
      <c r="B57" s="40" t="s">
        <v>25</v>
      </c>
      <c r="C57" s="1" t="s">
        <v>37</v>
      </c>
      <c r="D57" s="1" t="s">
        <v>7</v>
      </c>
      <c r="E57" s="1">
        <v>2</v>
      </c>
      <c r="F57" s="32">
        <v>130</v>
      </c>
    </row>
    <row r="58" spans="1:6" x14ac:dyDescent="0.2">
      <c r="A58" s="31">
        <v>44476</v>
      </c>
      <c r="B58" s="40" t="s">
        <v>26</v>
      </c>
      <c r="C58" s="1" t="s">
        <v>37</v>
      </c>
      <c r="D58" s="1" t="s">
        <v>5</v>
      </c>
      <c r="E58" s="1">
        <v>2</v>
      </c>
      <c r="F58" s="32">
        <v>105</v>
      </c>
    </row>
    <row r="59" spans="1:6" x14ac:dyDescent="0.2">
      <c r="A59" s="31">
        <v>44476</v>
      </c>
      <c r="B59" s="40" t="s">
        <v>26</v>
      </c>
      <c r="C59" s="1" t="s">
        <v>37</v>
      </c>
      <c r="D59" s="1" t="s">
        <v>13</v>
      </c>
      <c r="E59" s="1">
        <v>2</v>
      </c>
      <c r="F59" s="32">
        <v>150</v>
      </c>
    </row>
    <row r="60" spans="1:6" x14ac:dyDescent="0.2">
      <c r="A60" s="31">
        <v>44484</v>
      </c>
      <c r="B60" s="40" t="s">
        <v>20</v>
      </c>
      <c r="C60" s="1" t="s">
        <v>39</v>
      </c>
      <c r="D60" s="1" t="s">
        <v>6</v>
      </c>
      <c r="E60" s="1">
        <v>15</v>
      </c>
      <c r="F60" s="32">
        <v>505</v>
      </c>
    </row>
    <row r="61" spans="1:6" x14ac:dyDescent="0.2">
      <c r="A61" s="31">
        <v>44476</v>
      </c>
      <c r="B61" s="40" t="s">
        <v>26</v>
      </c>
      <c r="C61" s="1" t="s">
        <v>37</v>
      </c>
      <c r="D61" s="1" t="s">
        <v>1</v>
      </c>
      <c r="E61" s="1">
        <v>16</v>
      </c>
      <c r="F61" s="32">
        <v>320</v>
      </c>
    </row>
    <row r="62" spans="1:6" x14ac:dyDescent="0.2">
      <c r="A62" s="31">
        <v>44476</v>
      </c>
      <c r="B62" s="40" t="s">
        <v>26</v>
      </c>
      <c r="C62" s="1" t="s">
        <v>37</v>
      </c>
      <c r="D62" s="1" t="s">
        <v>11</v>
      </c>
      <c r="E62" s="1">
        <v>76</v>
      </c>
      <c r="F62" s="32">
        <v>418</v>
      </c>
    </row>
    <row r="63" spans="1:6" x14ac:dyDescent="0.2">
      <c r="A63" s="31">
        <v>44476</v>
      </c>
      <c r="B63" s="40" t="s">
        <v>26</v>
      </c>
      <c r="C63" s="1" t="s">
        <v>37</v>
      </c>
      <c r="D63" s="1" t="s">
        <v>16</v>
      </c>
      <c r="E63" s="1">
        <v>15</v>
      </c>
      <c r="F63" s="32">
        <v>390</v>
      </c>
    </row>
    <row r="64" spans="1:6" x14ac:dyDescent="0.2">
      <c r="A64" s="31">
        <v>44476</v>
      </c>
      <c r="B64" s="40" t="s">
        <v>26</v>
      </c>
      <c r="C64" s="1" t="s">
        <v>37</v>
      </c>
      <c r="D64" s="1" t="s">
        <v>0</v>
      </c>
      <c r="E64" s="1">
        <v>20</v>
      </c>
      <c r="F64" s="32">
        <v>624</v>
      </c>
    </row>
    <row r="65" spans="1:6" x14ac:dyDescent="0.2">
      <c r="A65" s="31">
        <v>44476</v>
      </c>
      <c r="B65" s="40" t="s">
        <v>26</v>
      </c>
      <c r="C65" s="1" t="s">
        <v>37</v>
      </c>
      <c r="D65" s="37" t="s">
        <v>50</v>
      </c>
      <c r="E65" s="1">
        <v>11</v>
      </c>
      <c r="F65" s="32">
        <v>858</v>
      </c>
    </row>
    <row r="66" spans="1:6" x14ac:dyDescent="0.2">
      <c r="A66" s="31">
        <v>44476</v>
      </c>
      <c r="B66" s="40" t="s">
        <v>26</v>
      </c>
      <c r="C66" s="1" t="s">
        <v>37</v>
      </c>
      <c r="D66" s="1" t="s">
        <v>7</v>
      </c>
      <c r="E66" s="1">
        <v>3</v>
      </c>
      <c r="F66" s="32">
        <v>115</v>
      </c>
    </row>
    <row r="67" spans="1:6" x14ac:dyDescent="0.2">
      <c r="A67" s="31">
        <v>44477</v>
      </c>
      <c r="B67" s="40" t="s">
        <v>20</v>
      </c>
      <c r="C67" s="1" t="s">
        <v>38</v>
      </c>
      <c r="D67" s="1" t="s">
        <v>5</v>
      </c>
      <c r="E67" s="1">
        <v>8</v>
      </c>
      <c r="F67" s="32">
        <v>553</v>
      </c>
    </row>
    <row r="68" spans="1:6" x14ac:dyDescent="0.2">
      <c r="A68" s="31">
        <v>44477</v>
      </c>
      <c r="B68" s="40" t="s">
        <v>20</v>
      </c>
      <c r="C68" s="1" t="s">
        <v>38</v>
      </c>
      <c r="D68" s="1" t="s">
        <v>2</v>
      </c>
      <c r="E68" s="1">
        <v>3</v>
      </c>
      <c r="F68" s="32">
        <v>45</v>
      </c>
    </row>
    <row r="69" spans="1:6" x14ac:dyDescent="0.2">
      <c r="A69" s="31">
        <v>44477</v>
      </c>
      <c r="B69" s="40" t="s">
        <v>20</v>
      </c>
      <c r="C69" s="1" t="s">
        <v>38</v>
      </c>
      <c r="D69" s="1" t="s">
        <v>13</v>
      </c>
      <c r="E69" s="1">
        <v>2</v>
      </c>
      <c r="F69" s="32">
        <v>150</v>
      </c>
    </row>
    <row r="70" spans="1:6" x14ac:dyDescent="0.2">
      <c r="A70" s="31">
        <v>44477</v>
      </c>
      <c r="B70" s="40" t="s">
        <v>20</v>
      </c>
      <c r="C70" s="1" t="s">
        <v>38</v>
      </c>
      <c r="D70" s="1" t="s">
        <v>34</v>
      </c>
      <c r="E70" s="1">
        <v>4</v>
      </c>
      <c r="F70" s="32">
        <v>40</v>
      </c>
    </row>
    <row r="71" spans="1:6" x14ac:dyDescent="0.2">
      <c r="A71" s="31">
        <v>44476</v>
      </c>
      <c r="B71" s="40" t="s">
        <v>26</v>
      </c>
      <c r="C71" s="1" t="s">
        <v>37</v>
      </c>
      <c r="D71" s="1" t="s">
        <v>6</v>
      </c>
      <c r="E71" s="1">
        <v>4</v>
      </c>
      <c r="F71" s="32">
        <v>100</v>
      </c>
    </row>
    <row r="72" spans="1:6" x14ac:dyDescent="0.2">
      <c r="A72" s="31">
        <v>44477</v>
      </c>
      <c r="B72" s="40" t="s">
        <v>20</v>
      </c>
      <c r="C72" s="1" t="s">
        <v>38</v>
      </c>
      <c r="D72" s="1" t="s">
        <v>1</v>
      </c>
      <c r="E72" s="1">
        <v>29</v>
      </c>
      <c r="F72" s="32">
        <v>440</v>
      </c>
    </row>
    <row r="73" spans="1:6" x14ac:dyDescent="0.2">
      <c r="A73" s="31">
        <v>44477</v>
      </c>
      <c r="B73" s="40" t="s">
        <v>20</v>
      </c>
      <c r="C73" s="1" t="s">
        <v>38</v>
      </c>
      <c r="D73" s="1" t="s">
        <v>16</v>
      </c>
      <c r="E73" s="1">
        <v>15</v>
      </c>
      <c r="F73" s="32">
        <v>390</v>
      </c>
    </row>
    <row r="74" spans="1:6" x14ac:dyDescent="0.2">
      <c r="A74" s="31">
        <v>44477</v>
      </c>
      <c r="B74" s="40" t="s">
        <v>20</v>
      </c>
      <c r="C74" s="1" t="s">
        <v>38</v>
      </c>
      <c r="D74" s="37" t="s">
        <v>50</v>
      </c>
      <c r="E74" s="1">
        <v>23</v>
      </c>
      <c r="F74" s="32">
        <v>1655</v>
      </c>
    </row>
    <row r="75" spans="1:6" x14ac:dyDescent="0.2">
      <c r="A75" s="31">
        <v>44477</v>
      </c>
      <c r="B75" s="40" t="s">
        <v>20</v>
      </c>
      <c r="C75" s="1" t="s">
        <v>38</v>
      </c>
      <c r="D75" s="1" t="s">
        <v>7</v>
      </c>
      <c r="E75" s="1">
        <v>9</v>
      </c>
      <c r="F75" s="32">
        <v>456</v>
      </c>
    </row>
    <row r="76" spans="1:6" x14ac:dyDescent="0.2">
      <c r="A76" s="31">
        <v>44478</v>
      </c>
      <c r="B76" s="40" t="s">
        <v>21</v>
      </c>
      <c r="C76" s="1" t="s">
        <v>38</v>
      </c>
      <c r="D76" s="1" t="s">
        <v>5</v>
      </c>
      <c r="E76" s="1">
        <v>3</v>
      </c>
      <c r="F76" s="32">
        <v>167</v>
      </c>
    </row>
    <row r="77" spans="1:6" x14ac:dyDescent="0.2">
      <c r="A77" s="31">
        <v>44478</v>
      </c>
      <c r="B77" s="40" t="s">
        <v>21</v>
      </c>
      <c r="C77" s="1" t="s">
        <v>38</v>
      </c>
      <c r="D77" s="1" t="s">
        <v>13</v>
      </c>
      <c r="E77" s="1">
        <v>2</v>
      </c>
      <c r="F77" s="32">
        <v>150</v>
      </c>
    </row>
    <row r="78" spans="1:6" x14ac:dyDescent="0.2">
      <c r="A78" s="31">
        <v>44477</v>
      </c>
      <c r="B78" s="40" t="s">
        <v>20</v>
      </c>
      <c r="C78" s="1" t="s">
        <v>38</v>
      </c>
      <c r="D78" s="1" t="s">
        <v>6</v>
      </c>
      <c r="E78" s="1">
        <v>9</v>
      </c>
      <c r="F78" s="32">
        <v>260</v>
      </c>
    </row>
    <row r="79" spans="1:6" x14ac:dyDescent="0.2">
      <c r="A79" s="31">
        <v>44478</v>
      </c>
      <c r="B79" s="40" t="s">
        <v>21</v>
      </c>
      <c r="C79" s="1" t="s">
        <v>38</v>
      </c>
      <c r="D79" s="1" t="s">
        <v>1</v>
      </c>
      <c r="E79" s="1">
        <v>2</v>
      </c>
      <c r="F79" s="32">
        <v>70</v>
      </c>
    </row>
    <row r="80" spans="1:6" x14ac:dyDescent="0.2">
      <c r="A80" s="31">
        <v>44478</v>
      </c>
      <c r="B80" s="40" t="s">
        <v>21</v>
      </c>
      <c r="C80" s="1" t="s">
        <v>38</v>
      </c>
      <c r="D80" s="1" t="s">
        <v>0</v>
      </c>
      <c r="E80" s="1">
        <v>13</v>
      </c>
      <c r="F80" s="32">
        <v>150</v>
      </c>
    </row>
    <row r="81" spans="1:6" x14ac:dyDescent="0.2">
      <c r="A81" s="31">
        <v>44478</v>
      </c>
      <c r="B81" s="40" t="s">
        <v>21</v>
      </c>
      <c r="C81" s="1" t="s">
        <v>38</v>
      </c>
      <c r="D81" s="37" t="s">
        <v>50</v>
      </c>
      <c r="E81" s="1">
        <v>8</v>
      </c>
      <c r="F81" s="32">
        <v>565</v>
      </c>
    </row>
    <row r="82" spans="1:6" x14ac:dyDescent="0.2">
      <c r="A82" s="31">
        <v>44478</v>
      </c>
      <c r="B82" s="40" t="s">
        <v>21</v>
      </c>
      <c r="C82" s="1" t="s">
        <v>38</v>
      </c>
      <c r="D82" s="1" t="s">
        <v>7</v>
      </c>
      <c r="E82" s="1">
        <v>11</v>
      </c>
      <c r="F82" s="32">
        <v>326</v>
      </c>
    </row>
    <row r="83" spans="1:6" x14ac:dyDescent="0.2">
      <c r="A83" s="31">
        <v>44479</v>
      </c>
      <c r="B83" s="40" t="s">
        <v>22</v>
      </c>
      <c r="C83" s="1" t="s">
        <v>38</v>
      </c>
      <c r="D83" s="1" t="s">
        <v>5</v>
      </c>
      <c r="E83" s="1">
        <v>1</v>
      </c>
      <c r="F83" s="32">
        <v>48</v>
      </c>
    </row>
    <row r="84" spans="1:6" x14ac:dyDescent="0.2">
      <c r="A84" s="31">
        <v>44479</v>
      </c>
      <c r="B84" s="40" t="s">
        <v>22</v>
      </c>
      <c r="C84" s="1" t="s">
        <v>38</v>
      </c>
      <c r="D84" s="1" t="s">
        <v>2</v>
      </c>
      <c r="E84" s="1">
        <v>3</v>
      </c>
      <c r="F84" s="32">
        <v>45</v>
      </c>
    </row>
    <row r="85" spans="1:6" x14ac:dyDescent="0.2">
      <c r="A85" s="31">
        <v>44479</v>
      </c>
      <c r="B85" s="40" t="s">
        <v>22</v>
      </c>
      <c r="C85" s="1" t="s">
        <v>38</v>
      </c>
      <c r="D85" s="1" t="s">
        <v>13</v>
      </c>
      <c r="E85" s="1">
        <v>1</v>
      </c>
      <c r="F85" s="32">
        <v>75</v>
      </c>
    </row>
    <row r="86" spans="1:6" x14ac:dyDescent="0.2">
      <c r="A86" s="31">
        <v>44478</v>
      </c>
      <c r="B86" s="40" t="s">
        <v>21</v>
      </c>
      <c r="C86" s="1" t="s">
        <v>38</v>
      </c>
      <c r="D86" s="1" t="s">
        <v>6</v>
      </c>
      <c r="E86" s="1">
        <v>10</v>
      </c>
      <c r="F86" s="32">
        <v>244</v>
      </c>
    </row>
    <row r="87" spans="1:6" x14ac:dyDescent="0.2">
      <c r="A87" s="31">
        <v>44479</v>
      </c>
      <c r="B87" s="40" t="s">
        <v>22</v>
      </c>
      <c r="C87" s="1" t="s">
        <v>38</v>
      </c>
      <c r="D87" s="1" t="s">
        <v>11</v>
      </c>
      <c r="E87" s="1">
        <v>84</v>
      </c>
      <c r="F87" s="32">
        <v>504</v>
      </c>
    </row>
    <row r="88" spans="1:6" x14ac:dyDescent="0.2">
      <c r="A88" s="31">
        <v>44479</v>
      </c>
      <c r="B88" s="40" t="s">
        <v>22</v>
      </c>
      <c r="C88" s="1" t="s">
        <v>38</v>
      </c>
      <c r="D88" s="1" t="s">
        <v>0</v>
      </c>
      <c r="E88" s="1">
        <v>2</v>
      </c>
      <c r="F88" s="32">
        <v>250</v>
      </c>
    </row>
    <row r="89" spans="1:6" x14ac:dyDescent="0.2">
      <c r="A89" s="31">
        <v>44479</v>
      </c>
      <c r="B89" s="40" t="s">
        <v>22</v>
      </c>
      <c r="C89" s="1" t="s">
        <v>38</v>
      </c>
      <c r="D89" s="37" t="s">
        <v>50</v>
      </c>
      <c r="E89" s="1">
        <v>5</v>
      </c>
      <c r="F89" s="32">
        <v>369</v>
      </c>
    </row>
    <row r="90" spans="1:6" x14ac:dyDescent="0.2">
      <c r="A90" s="31">
        <v>44480</v>
      </c>
      <c r="B90" s="40" t="s">
        <v>23</v>
      </c>
      <c r="C90" s="1" t="s">
        <v>38</v>
      </c>
      <c r="D90" s="1" t="s">
        <v>5</v>
      </c>
      <c r="E90" s="1">
        <v>5</v>
      </c>
      <c r="F90" s="32">
        <v>399</v>
      </c>
    </row>
    <row r="91" spans="1:6" x14ac:dyDescent="0.2">
      <c r="A91" s="31">
        <v>44480</v>
      </c>
      <c r="B91" s="40" t="s">
        <v>23</v>
      </c>
      <c r="C91" s="1" t="s">
        <v>38</v>
      </c>
      <c r="D91" s="1" t="s">
        <v>12</v>
      </c>
      <c r="E91" s="1">
        <v>12</v>
      </c>
      <c r="F91" s="32">
        <v>230.4</v>
      </c>
    </row>
    <row r="92" spans="1:6" x14ac:dyDescent="0.2">
      <c r="A92" s="31">
        <v>44479</v>
      </c>
      <c r="B92" s="40" t="s">
        <v>22</v>
      </c>
      <c r="C92" s="1" t="s">
        <v>38</v>
      </c>
      <c r="D92" s="1" t="s">
        <v>6</v>
      </c>
      <c r="E92" s="1">
        <v>6</v>
      </c>
      <c r="F92" s="32">
        <v>60</v>
      </c>
    </row>
    <row r="93" spans="1:6" x14ac:dyDescent="0.2">
      <c r="A93" s="31">
        <v>44480</v>
      </c>
      <c r="B93" s="40" t="s">
        <v>23</v>
      </c>
      <c r="C93" s="1" t="s">
        <v>38</v>
      </c>
      <c r="D93" s="1" t="s">
        <v>1</v>
      </c>
      <c r="E93" s="1">
        <v>16</v>
      </c>
      <c r="F93" s="32">
        <v>225</v>
      </c>
    </row>
    <row r="94" spans="1:6" x14ac:dyDescent="0.2">
      <c r="A94" s="31">
        <v>44480</v>
      </c>
      <c r="B94" s="40" t="s">
        <v>23</v>
      </c>
      <c r="C94" s="1" t="s">
        <v>38</v>
      </c>
      <c r="D94" s="1" t="s">
        <v>11</v>
      </c>
      <c r="E94" s="1">
        <v>38</v>
      </c>
      <c r="F94" s="32">
        <v>372</v>
      </c>
    </row>
    <row r="95" spans="1:6" x14ac:dyDescent="0.2">
      <c r="A95" s="31">
        <v>44480</v>
      </c>
      <c r="B95" s="40" t="s">
        <v>23</v>
      </c>
      <c r="C95" s="1" t="s">
        <v>38</v>
      </c>
      <c r="D95" s="1" t="s">
        <v>16</v>
      </c>
      <c r="E95" s="1">
        <v>6</v>
      </c>
      <c r="F95" s="32">
        <v>156</v>
      </c>
    </row>
    <row r="96" spans="1:6" x14ac:dyDescent="0.2">
      <c r="A96" s="31">
        <v>44480</v>
      </c>
      <c r="B96" s="40" t="s">
        <v>23</v>
      </c>
      <c r="C96" s="1" t="s">
        <v>38</v>
      </c>
      <c r="D96" s="1" t="s">
        <v>0</v>
      </c>
      <c r="E96" s="1">
        <v>15</v>
      </c>
      <c r="F96" s="32">
        <v>250</v>
      </c>
    </row>
    <row r="97" spans="1:6" x14ac:dyDescent="0.2">
      <c r="A97" s="31">
        <v>44480</v>
      </c>
      <c r="B97" s="40" t="s">
        <v>23</v>
      </c>
      <c r="C97" s="1" t="s">
        <v>38</v>
      </c>
      <c r="D97" s="37" t="s">
        <v>50</v>
      </c>
      <c r="E97" s="1">
        <v>9</v>
      </c>
      <c r="F97" s="32">
        <v>783</v>
      </c>
    </row>
    <row r="98" spans="1:6" x14ac:dyDescent="0.2">
      <c r="A98" s="31">
        <v>44480</v>
      </c>
      <c r="B98" s="40" t="s">
        <v>23</v>
      </c>
      <c r="C98" s="1" t="s">
        <v>38</v>
      </c>
      <c r="D98" s="1" t="s">
        <v>7</v>
      </c>
      <c r="E98" s="1">
        <v>13</v>
      </c>
      <c r="F98" s="32">
        <v>560</v>
      </c>
    </row>
    <row r="99" spans="1:6" x14ac:dyDescent="0.2">
      <c r="A99" s="31">
        <v>44481</v>
      </c>
      <c r="B99" s="40" t="s">
        <v>24</v>
      </c>
      <c r="C99" s="1" t="s">
        <v>38</v>
      </c>
      <c r="D99" s="1" t="s">
        <v>5</v>
      </c>
      <c r="E99" s="1">
        <v>7</v>
      </c>
      <c r="F99" s="32">
        <v>138</v>
      </c>
    </row>
    <row r="100" spans="1:6" x14ac:dyDescent="0.2">
      <c r="A100" s="31">
        <v>44481</v>
      </c>
      <c r="B100" s="40" t="s">
        <v>24</v>
      </c>
      <c r="C100" s="1" t="s">
        <v>38</v>
      </c>
      <c r="D100" s="1" t="s">
        <v>2</v>
      </c>
      <c r="E100" s="1">
        <v>6</v>
      </c>
      <c r="F100" s="32">
        <v>90</v>
      </c>
    </row>
    <row r="101" spans="1:6" x14ac:dyDescent="0.2">
      <c r="A101" s="31">
        <v>44481</v>
      </c>
      <c r="B101" s="40" t="s">
        <v>24</v>
      </c>
      <c r="C101" s="1" t="s">
        <v>38</v>
      </c>
      <c r="D101" s="1" t="s">
        <v>13</v>
      </c>
      <c r="E101" s="1">
        <v>4</v>
      </c>
      <c r="F101" s="32">
        <v>300</v>
      </c>
    </row>
    <row r="102" spans="1:6" x14ac:dyDescent="0.2">
      <c r="A102" s="31">
        <v>44491</v>
      </c>
      <c r="B102" s="40" t="s">
        <v>20</v>
      </c>
      <c r="C102" s="1" t="s">
        <v>40</v>
      </c>
      <c r="D102" s="1" t="s">
        <v>6</v>
      </c>
      <c r="E102" s="1">
        <v>11</v>
      </c>
      <c r="F102" s="32">
        <v>425</v>
      </c>
    </row>
    <row r="103" spans="1:6" x14ac:dyDescent="0.2">
      <c r="A103" s="31">
        <v>44481</v>
      </c>
      <c r="B103" s="40" t="s">
        <v>24</v>
      </c>
      <c r="C103" s="1" t="s">
        <v>38</v>
      </c>
      <c r="D103" s="1" t="s">
        <v>1</v>
      </c>
      <c r="E103" s="1">
        <v>2</v>
      </c>
      <c r="F103" s="32">
        <v>20</v>
      </c>
    </row>
    <row r="104" spans="1:6" x14ac:dyDescent="0.2">
      <c r="A104" s="31">
        <v>44481</v>
      </c>
      <c r="B104" s="40" t="s">
        <v>24</v>
      </c>
      <c r="C104" s="1" t="s">
        <v>38</v>
      </c>
      <c r="D104" s="1" t="s">
        <v>11</v>
      </c>
      <c r="E104" s="1">
        <v>86</v>
      </c>
      <c r="F104" s="32">
        <v>516</v>
      </c>
    </row>
    <row r="105" spans="1:6" x14ac:dyDescent="0.2">
      <c r="A105" s="31">
        <v>44481</v>
      </c>
      <c r="B105" s="40" t="s">
        <v>24</v>
      </c>
      <c r="C105" s="1" t="s">
        <v>38</v>
      </c>
      <c r="D105" s="1" t="s">
        <v>16</v>
      </c>
      <c r="E105" s="1">
        <v>2</v>
      </c>
      <c r="F105" s="32">
        <v>52</v>
      </c>
    </row>
    <row r="106" spans="1:6" x14ac:dyDescent="0.2">
      <c r="A106" s="31">
        <v>44481</v>
      </c>
      <c r="B106" s="40" t="s">
        <v>24</v>
      </c>
      <c r="C106" s="1" t="s">
        <v>38</v>
      </c>
      <c r="D106" s="1" t="s">
        <v>0</v>
      </c>
      <c r="E106" s="1">
        <v>12</v>
      </c>
      <c r="F106" s="32">
        <v>300</v>
      </c>
    </row>
    <row r="107" spans="1:6" x14ac:dyDescent="0.2">
      <c r="A107" s="31">
        <v>44481</v>
      </c>
      <c r="B107" s="40" t="s">
        <v>24</v>
      </c>
      <c r="C107" s="1" t="s">
        <v>38</v>
      </c>
      <c r="D107" s="37" t="s">
        <v>50</v>
      </c>
      <c r="E107" s="1">
        <v>9</v>
      </c>
      <c r="F107" s="32">
        <v>419</v>
      </c>
    </row>
    <row r="108" spans="1:6" x14ac:dyDescent="0.2">
      <c r="A108" s="31">
        <v>44481</v>
      </c>
      <c r="B108" s="40" t="s">
        <v>24</v>
      </c>
      <c r="C108" s="1" t="s">
        <v>38</v>
      </c>
      <c r="D108" s="1" t="s">
        <v>7</v>
      </c>
      <c r="E108" s="1">
        <v>5</v>
      </c>
      <c r="F108" s="32">
        <v>50</v>
      </c>
    </row>
    <row r="109" spans="1:6" x14ac:dyDescent="0.2">
      <c r="A109" s="31">
        <v>44482</v>
      </c>
      <c r="B109" s="40" t="s">
        <v>25</v>
      </c>
      <c r="C109" s="1" t="s">
        <v>38</v>
      </c>
      <c r="D109" s="1" t="s">
        <v>5</v>
      </c>
      <c r="E109" s="1">
        <v>13</v>
      </c>
      <c r="F109" s="32">
        <v>298</v>
      </c>
    </row>
    <row r="110" spans="1:6" x14ac:dyDescent="0.2">
      <c r="A110" s="31">
        <v>44482</v>
      </c>
      <c r="B110" s="40" t="s">
        <v>25</v>
      </c>
      <c r="C110" s="1" t="s">
        <v>38</v>
      </c>
      <c r="D110" s="1" t="s">
        <v>2</v>
      </c>
      <c r="E110" s="1">
        <v>2</v>
      </c>
      <c r="F110" s="32">
        <v>30</v>
      </c>
    </row>
    <row r="111" spans="1:6" x14ac:dyDescent="0.2">
      <c r="A111" s="31">
        <v>44482</v>
      </c>
      <c r="B111" s="40" t="s">
        <v>25</v>
      </c>
      <c r="C111" s="1" t="s">
        <v>38</v>
      </c>
      <c r="D111" s="1" t="s">
        <v>13</v>
      </c>
      <c r="E111" s="1">
        <v>2</v>
      </c>
      <c r="F111" s="32">
        <v>150</v>
      </c>
    </row>
    <row r="112" spans="1:6" x14ac:dyDescent="0.2">
      <c r="A112" s="31">
        <v>44482</v>
      </c>
      <c r="B112" s="40" t="s">
        <v>25</v>
      </c>
      <c r="C112" s="1" t="s">
        <v>38</v>
      </c>
      <c r="D112" s="1" t="s">
        <v>34</v>
      </c>
      <c r="E112" s="1">
        <v>2</v>
      </c>
      <c r="F112" s="32">
        <v>20</v>
      </c>
    </row>
    <row r="113" spans="1:6" x14ac:dyDescent="0.2">
      <c r="A113" s="31">
        <v>44481</v>
      </c>
      <c r="B113" s="40" t="s">
        <v>24</v>
      </c>
      <c r="C113" s="1" t="s">
        <v>38</v>
      </c>
      <c r="D113" s="1" t="s">
        <v>6</v>
      </c>
      <c r="E113" s="1">
        <v>2</v>
      </c>
      <c r="F113" s="32">
        <v>40</v>
      </c>
    </row>
    <row r="114" spans="1:6" x14ac:dyDescent="0.2">
      <c r="A114" s="31">
        <v>44482</v>
      </c>
      <c r="B114" s="40" t="s">
        <v>25</v>
      </c>
      <c r="C114" s="1" t="s">
        <v>38</v>
      </c>
      <c r="D114" s="1" t="s">
        <v>1</v>
      </c>
      <c r="E114" s="1">
        <v>14</v>
      </c>
      <c r="F114" s="32">
        <v>350</v>
      </c>
    </row>
    <row r="115" spans="1:6" x14ac:dyDescent="0.2">
      <c r="A115" s="31">
        <v>44482</v>
      </c>
      <c r="B115" s="40" t="s">
        <v>25</v>
      </c>
      <c r="C115" s="1" t="s">
        <v>38</v>
      </c>
      <c r="D115" s="1" t="s">
        <v>11</v>
      </c>
      <c r="E115" s="1">
        <v>26</v>
      </c>
      <c r="F115" s="32">
        <v>156</v>
      </c>
    </row>
    <row r="116" spans="1:6" x14ac:dyDescent="0.2">
      <c r="A116" s="31">
        <v>44482</v>
      </c>
      <c r="B116" s="40" t="s">
        <v>25</v>
      </c>
      <c r="C116" s="1" t="s">
        <v>38</v>
      </c>
      <c r="D116" s="1" t="s">
        <v>16</v>
      </c>
      <c r="E116" s="1">
        <v>3</v>
      </c>
      <c r="F116" s="32">
        <v>78</v>
      </c>
    </row>
    <row r="117" spans="1:6" x14ac:dyDescent="0.2">
      <c r="A117" s="31">
        <v>44482</v>
      </c>
      <c r="B117" s="40" t="s">
        <v>25</v>
      </c>
      <c r="C117" s="1" t="s">
        <v>38</v>
      </c>
      <c r="D117" s="1" t="s">
        <v>0</v>
      </c>
      <c r="E117" s="1">
        <v>10</v>
      </c>
      <c r="F117" s="32">
        <v>229</v>
      </c>
    </row>
    <row r="118" spans="1:6" x14ac:dyDescent="0.2">
      <c r="A118" s="31">
        <v>44482</v>
      </c>
      <c r="B118" s="40" t="s">
        <v>25</v>
      </c>
      <c r="C118" s="1" t="s">
        <v>38</v>
      </c>
      <c r="D118" s="37" t="s">
        <v>50</v>
      </c>
      <c r="E118" s="1">
        <v>6</v>
      </c>
      <c r="F118" s="32">
        <v>300</v>
      </c>
    </row>
    <row r="119" spans="1:6" x14ac:dyDescent="0.2">
      <c r="A119" s="31">
        <v>44483</v>
      </c>
      <c r="B119" s="40" t="s">
        <v>26</v>
      </c>
      <c r="C119" s="1" t="s">
        <v>38</v>
      </c>
      <c r="D119" s="1" t="s">
        <v>5</v>
      </c>
      <c r="E119" s="1">
        <v>3</v>
      </c>
      <c r="F119" s="32">
        <v>145</v>
      </c>
    </row>
    <row r="120" spans="1:6" x14ac:dyDescent="0.2">
      <c r="A120" s="31">
        <v>44483</v>
      </c>
      <c r="B120" s="40" t="s">
        <v>26</v>
      </c>
      <c r="C120" s="1" t="s">
        <v>38</v>
      </c>
      <c r="D120" s="1" t="s">
        <v>2</v>
      </c>
      <c r="E120" s="1">
        <v>5</v>
      </c>
      <c r="F120" s="32">
        <v>75</v>
      </c>
    </row>
    <row r="121" spans="1:6" x14ac:dyDescent="0.2">
      <c r="A121" s="31">
        <v>44483</v>
      </c>
      <c r="B121" s="40" t="s">
        <v>26</v>
      </c>
      <c r="C121" s="1" t="s">
        <v>38</v>
      </c>
      <c r="D121" s="1" t="s">
        <v>34</v>
      </c>
      <c r="E121" s="1">
        <v>4</v>
      </c>
      <c r="F121" s="32">
        <v>40</v>
      </c>
    </row>
    <row r="122" spans="1:6" x14ac:dyDescent="0.2">
      <c r="A122" s="31">
        <v>44482</v>
      </c>
      <c r="B122" s="40" t="s">
        <v>25</v>
      </c>
      <c r="C122" s="1" t="s">
        <v>38</v>
      </c>
      <c r="D122" s="1" t="s">
        <v>6</v>
      </c>
      <c r="E122" s="1">
        <v>13</v>
      </c>
      <c r="F122" s="32">
        <v>380</v>
      </c>
    </row>
    <row r="123" spans="1:6" x14ac:dyDescent="0.2">
      <c r="A123" s="31">
        <v>44483</v>
      </c>
      <c r="B123" s="40" t="s">
        <v>26</v>
      </c>
      <c r="C123" s="1" t="s">
        <v>38</v>
      </c>
      <c r="D123" s="1" t="s">
        <v>1</v>
      </c>
      <c r="E123" s="1">
        <v>7</v>
      </c>
      <c r="F123" s="32">
        <v>110</v>
      </c>
    </row>
    <row r="124" spans="1:6" x14ac:dyDescent="0.2">
      <c r="A124" s="31">
        <v>44483</v>
      </c>
      <c r="B124" s="40" t="s">
        <v>26</v>
      </c>
      <c r="C124" s="1" t="s">
        <v>38</v>
      </c>
      <c r="D124" s="1" t="s">
        <v>11</v>
      </c>
      <c r="E124" s="1">
        <v>34</v>
      </c>
      <c r="F124" s="32">
        <v>204</v>
      </c>
    </row>
    <row r="125" spans="1:6" x14ac:dyDescent="0.2">
      <c r="A125" s="31">
        <v>44483</v>
      </c>
      <c r="B125" s="40" t="s">
        <v>26</v>
      </c>
      <c r="C125" s="1" t="s">
        <v>38</v>
      </c>
      <c r="D125" s="1" t="s">
        <v>0</v>
      </c>
      <c r="E125" s="1">
        <v>2</v>
      </c>
      <c r="F125" s="32">
        <v>25</v>
      </c>
    </row>
    <row r="126" spans="1:6" x14ac:dyDescent="0.2">
      <c r="A126" s="31">
        <v>44483</v>
      </c>
      <c r="B126" s="40" t="s">
        <v>26</v>
      </c>
      <c r="C126" s="1" t="s">
        <v>38</v>
      </c>
      <c r="D126" s="37" t="s">
        <v>50</v>
      </c>
      <c r="E126" s="1">
        <v>3</v>
      </c>
      <c r="F126" s="32">
        <v>447</v>
      </c>
    </row>
    <row r="127" spans="1:6" x14ac:dyDescent="0.2">
      <c r="A127" s="31">
        <v>44483</v>
      </c>
      <c r="B127" s="40" t="s">
        <v>26</v>
      </c>
      <c r="C127" s="1" t="s">
        <v>38</v>
      </c>
      <c r="D127" s="1" t="s">
        <v>7</v>
      </c>
      <c r="E127" s="1">
        <v>2</v>
      </c>
      <c r="F127" s="32">
        <v>158</v>
      </c>
    </row>
    <row r="128" spans="1:6" x14ac:dyDescent="0.2">
      <c r="A128" s="31">
        <v>44484</v>
      </c>
      <c r="B128" s="40" t="s">
        <v>20</v>
      </c>
      <c r="C128" s="1" t="s">
        <v>39</v>
      </c>
      <c r="D128" s="1" t="s">
        <v>5</v>
      </c>
      <c r="E128" s="1">
        <v>4</v>
      </c>
      <c r="F128" s="32">
        <v>382</v>
      </c>
    </row>
    <row r="129" spans="1:6" x14ac:dyDescent="0.2">
      <c r="A129" s="31">
        <v>44484</v>
      </c>
      <c r="B129" s="40" t="s">
        <v>20</v>
      </c>
      <c r="C129" s="1" t="s">
        <v>39</v>
      </c>
      <c r="D129" s="1" t="s">
        <v>13</v>
      </c>
      <c r="E129" s="1">
        <v>4</v>
      </c>
      <c r="F129" s="32">
        <v>300</v>
      </c>
    </row>
    <row r="130" spans="1:6" x14ac:dyDescent="0.2">
      <c r="A130" s="31">
        <v>44483</v>
      </c>
      <c r="B130" s="40" t="s">
        <v>26</v>
      </c>
      <c r="C130" s="1" t="s">
        <v>38</v>
      </c>
      <c r="D130" s="1" t="s">
        <v>6</v>
      </c>
      <c r="E130" s="1">
        <v>13</v>
      </c>
      <c r="F130" s="32">
        <v>150</v>
      </c>
    </row>
    <row r="131" spans="1:6" x14ac:dyDescent="0.2">
      <c r="A131" s="31">
        <v>44484</v>
      </c>
      <c r="B131" s="40" t="s">
        <v>20</v>
      </c>
      <c r="C131" s="1" t="s">
        <v>39</v>
      </c>
      <c r="D131" s="1" t="s">
        <v>1</v>
      </c>
      <c r="E131" s="1">
        <v>11</v>
      </c>
      <c r="F131" s="32">
        <v>150</v>
      </c>
    </row>
    <row r="132" spans="1:6" x14ac:dyDescent="0.2">
      <c r="A132" s="31">
        <v>44484</v>
      </c>
      <c r="B132" s="40" t="s">
        <v>20</v>
      </c>
      <c r="C132" s="1" t="s">
        <v>39</v>
      </c>
      <c r="D132" s="1" t="s">
        <v>11</v>
      </c>
      <c r="E132" s="1">
        <v>134</v>
      </c>
      <c r="F132" s="32">
        <v>804</v>
      </c>
    </row>
    <row r="133" spans="1:6" x14ac:dyDescent="0.2">
      <c r="A133" s="31">
        <v>44484</v>
      </c>
      <c r="B133" s="40" t="s">
        <v>20</v>
      </c>
      <c r="C133" s="1" t="s">
        <v>39</v>
      </c>
      <c r="D133" s="1" t="s">
        <v>0</v>
      </c>
      <c r="E133" s="1">
        <v>9</v>
      </c>
      <c r="F133" s="32">
        <v>230</v>
      </c>
    </row>
    <row r="134" spans="1:6" x14ac:dyDescent="0.2">
      <c r="A134" s="31">
        <v>44484</v>
      </c>
      <c r="B134" s="40" t="s">
        <v>20</v>
      </c>
      <c r="C134" s="1" t="s">
        <v>39</v>
      </c>
      <c r="D134" s="37" t="s">
        <v>50</v>
      </c>
      <c r="E134" s="1">
        <v>2</v>
      </c>
      <c r="F134" s="32">
        <v>200</v>
      </c>
    </row>
    <row r="135" spans="1:6" x14ac:dyDescent="0.2">
      <c r="A135" s="31">
        <v>44484</v>
      </c>
      <c r="B135" s="40" t="s">
        <v>20</v>
      </c>
      <c r="C135" s="1" t="s">
        <v>39</v>
      </c>
      <c r="D135" s="1" t="s">
        <v>7</v>
      </c>
      <c r="E135" s="1">
        <v>20</v>
      </c>
      <c r="F135" s="32">
        <v>821</v>
      </c>
    </row>
    <row r="136" spans="1:6" x14ac:dyDescent="0.2">
      <c r="A136" s="31">
        <v>44485</v>
      </c>
      <c r="B136" s="40" t="s">
        <v>21</v>
      </c>
      <c r="C136" s="1" t="s">
        <v>39</v>
      </c>
      <c r="D136" s="1" t="s">
        <v>5</v>
      </c>
      <c r="E136" s="1">
        <v>8</v>
      </c>
      <c r="F136" s="32">
        <v>186</v>
      </c>
    </row>
    <row r="137" spans="1:6" x14ac:dyDescent="0.2">
      <c r="A137" s="31">
        <v>44485</v>
      </c>
      <c r="B137" s="40" t="s">
        <v>21</v>
      </c>
      <c r="C137" s="1" t="s">
        <v>39</v>
      </c>
      <c r="D137" s="1" t="s">
        <v>13</v>
      </c>
      <c r="E137" s="1">
        <v>1</v>
      </c>
      <c r="F137" s="32">
        <v>75</v>
      </c>
    </row>
    <row r="138" spans="1:6" x14ac:dyDescent="0.2">
      <c r="A138" s="31">
        <v>44485</v>
      </c>
      <c r="B138" s="40" t="s">
        <v>21</v>
      </c>
      <c r="C138" s="1" t="s">
        <v>39</v>
      </c>
      <c r="D138" s="1" t="s">
        <v>6</v>
      </c>
      <c r="E138" s="1">
        <v>24</v>
      </c>
      <c r="F138" s="32">
        <v>280</v>
      </c>
    </row>
    <row r="139" spans="1:6" x14ac:dyDescent="0.2">
      <c r="A139" s="31">
        <v>44485</v>
      </c>
      <c r="B139" s="40" t="s">
        <v>21</v>
      </c>
      <c r="C139" s="1" t="s">
        <v>39</v>
      </c>
      <c r="D139" s="1" t="s">
        <v>1</v>
      </c>
      <c r="E139" s="1">
        <v>5</v>
      </c>
      <c r="F139" s="32">
        <v>70</v>
      </c>
    </row>
    <row r="140" spans="1:6" x14ac:dyDescent="0.2">
      <c r="A140" s="31">
        <v>44485</v>
      </c>
      <c r="B140" s="40" t="s">
        <v>21</v>
      </c>
      <c r="C140" s="1" t="s">
        <v>39</v>
      </c>
      <c r="D140" s="1" t="s">
        <v>11</v>
      </c>
      <c r="E140" s="1">
        <v>30</v>
      </c>
      <c r="F140" s="32">
        <v>180</v>
      </c>
    </row>
    <row r="141" spans="1:6" x14ac:dyDescent="0.2">
      <c r="A141" s="31">
        <v>44485</v>
      </c>
      <c r="B141" s="40" t="s">
        <v>21</v>
      </c>
      <c r="C141" s="1" t="s">
        <v>39</v>
      </c>
      <c r="D141" s="1" t="s">
        <v>16</v>
      </c>
      <c r="E141" s="1">
        <v>12</v>
      </c>
      <c r="F141" s="32">
        <v>312</v>
      </c>
    </row>
    <row r="142" spans="1:6" x14ac:dyDescent="0.2">
      <c r="A142" s="31">
        <v>44485</v>
      </c>
      <c r="B142" s="40" t="s">
        <v>21</v>
      </c>
      <c r="C142" s="1" t="s">
        <v>39</v>
      </c>
      <c r="D142" s="1" t="s">
        <v>7</v>
      </c>
      <c r="E142" s="1">
        <v>8</v>
      </c>
      <c r="F142" s="32">
        <v>205</v>
      </c>
    </row>
    <row r="143" spans="1:6" x14ac:dyDescent="0.2">
      <c r="A143" s="31">
        <v>44486</v>
      </c>
      <c r="B143" s="40" t="s">
        <v>22</v>
      </c>
      <c r="C143" s="1" t="s">
        <v>39</v>
      </c>
      <c r="D143" s="1" t="s">
        <v>1</v>
      </c>
      <c r="E143" s="1">
        <v>13</v>
      </c>
      <c r="F143" s="32">
        <v>487</v>
      </c>
    </row>
    <row r="144" spans="1:6" x14ac:dyDescent="0.2">
      <c r="A144" s="31">
        <v>44486</v>
      </c>
      <c r="B144" s="40" t="s">
        <v>22</v>
      </c>
      <c r="C144" s="1" t="s">
        <v>39</v>
      </c>
      <c r="D144" s="1" t="s">
        <v>11</v>
      </c>
      <c r="E144" s="1">
        <v>76</v>
      </c>
      <c r="F144" s="32">
        <v>456</v>
      </c>
    </row>
    <row r="145" spans="1:6" x14ac:dyDescent="0.2">
      <c r="A145" s="31">
        <v>44486</v>
      </c>
      <c r="B145" s="40" t="s">
        <v>22</v>
      </c>
      <c r="C145" s="1" t="s">
        <v>39</v>
      </c>
      <c r="D145" s="1" t="s">
        <v>16</v>
      </c>
      <c r="E145" s="1">
        <v>5</v>
      </c>
      <c r="F145" s="32">
        <v>130</v>
      </c>
    </row>
    <row r="146" spans="1:6" x14ac:dyDescent="0.2">
      <c r="A146" s="31">
        <v>44486</v>
      </c>
      <c r="B146" s="40" t="s">
        <v>22</v>
      </c>
      <c r="C146" s="1" t="s">
        <v>39</v>
      </c>
      <c r="D146" s="1" t="s">
        <v>0</v>
      </c>
      <c r="E146" s="1">
        <v>1</v>
      </c>
      <c r="F146" s="32">
        <v>30</v>
      </c>
    </row>
    <row r="147" spans="1:6" x14ac:dyDescent="0.2">
      <c r="A147" s="31">
        <v>44486</v>
      </c>
      <c r="B147" s="40" t="s">
        <v>22</v>
      </c>
      <c r="C147" s="1" t="s">
        <v>39</v>
      </c>
      <c r="D147" s="37" t="s">
        <v>50</v>
      </c>
      <c r="E147" s="1">
        <v>2</v>
      </c>
      <c r="F147" s="32">
        <v>198</v>
      </c>
    </row>
    <row r="148" spans="1:6" x14ac:dyDescent="0.2">
      <c r="A148" s="31">
        <v>44486</v>
      </c>
      <c r="B148" s="40" t="s">
        <v>22</v>
      </c>
      <c r="C148" s="1" t="s">
        <v>39</v>
      </c>
      <c r="D148" s="1" t="s">
        <v>7</v>
      </c>
      <c r="E148" s="1">
        <v>2</v>
      </c>
      <c r="F148" s="32">
        <v>170</v>
      </c>
    </row>
    <row r="149" spans="1:6" x14ac:dyDescent="0.2">
      <c r="A149" s="31">
        <v>44487</v>
      </c>
      <c r="B149" s="40" t="s">
        <v>23</v>
      </c>
      <c r="C149" s="1" t="s">
        <v>39</v>
      </c>
      <c r="D149" s="1" t="s">
        <v>5</v>
      </c>
      <c r="E149" s="1">
        <v>1</v>
      </c>
      <c r="F149" s="32">
        <v>48</v>
      </c>
    </row>
    <row r="150" spans="1:6" x14ac:dyDescent="0.2">
      <c r="A150" s="31">
        <v>44487</v>
      </c>
      <c r="B150" s="40" t="s">
        <v>23</v>
      </c>
      <c r="C150" s="1" t="s">
        <v>39</v>
      </c>
      <c r="D150" s="1" t="s">
        <v>13</v>
      </c>
      <c r="E150" s="1">
        <v>2</v>
      </c>
      <c r="F150" s="32">
        <v>150</v>
      </c>
    </row>
    <row r="151" spans="1:6" x14ac:dyDescent="0.2">
      <c r="A151" s="31">
        <v>44487</v>
      </c>
      <c r="B151" s="40" t="s">
        <v>23</v>
      </c>
      <c r="C151" s="1" t="s">
        <v>39</v>
      </c>
      <c r="D151" s="1" t="s">
        <v>34</v>
      </c>
      <c r="E151" s="1">
        <v>24</v>
      </c>
      <c r="F151" s="32">
        <v>228</v>
      </c>
    </row>
    <row r="152" spans="1:6" x14ac:dyDescent="0.2">
      <c r="A152" s="31">
        <v>44487</v>
      </c>
      <c r="B152" s="40" t="s">
        <v>23</v>
      </c>
      <c r="C152" s="1" t="s">
        <v>39</v>
      </c>
      <c r="D152" s="1" t="s">
        <v>6</v>
      </c>
      <c r="E152" s="1">
        <v>2</v>
      </c>
      <c r="F152" s="32">
        <v>20</v>
      </c>
    </row>
    <row r="153" spans="1:6" x14ac:dyDescent="0.2">
      <c r="A153" s="31">
        <v>44487</v>
      </c>
      <c r="B153" s="40" t="s">
        <v>23</v>
      </c>
      <c r="C153" s="1" t="s">
        <v>39</v>
      </c>
      <c r="D153" s="1" t="s">
        <v>1</v>
      </c>
      <c r="E153" s="1">
        <v>12</v>
      </c>
      <c r="F153" s="32">
        <v>200</v>
      </c>
    </row>
    <row r="154" spans="1:6" x14ac:dyDescent="0.2">
      <c r="A154" s="31">
        <v>44487</v>
      </c>
      <c r="B154" s="40" t="s">
        <v>23</v>
      </c>
      <c r="C154" s="1" t="s">
        <v>39</v>
      </c>
      <c r="D154" s="1" t="s">
        <v>11</v>
      </c>
      <c r="E154" s="1">
        <v>6</v>
      </c>
      <c r="F154" s="32">
        <v>36</v>
      </c>
    </row>
    <row r="155" spans="1:6" x14ac:dyDescent="0.2">
      <c r="A155" s="31">
        <v>44487</v>
      </c>
      <c r="B155" s="40" t="s">
        <v>23</v>
      </c>
      <c r="C155" s="1" t="s">
        <v>39</v>
      </c>
      <c r="D155" s="1" t="s">
        <v>16</v>
      </c>
      <c r="E155" s="1">
        <v>3</v>
      </c>
      <c r="F155" s="32">
        <v>78</v>
      </c>
    </row>
    <row r="156" spans="1:6" x14ac:dyDescent="0.2">
      <c r="A156" s="31">
        <v>44487</v>
      </c>
      <c r="B156" s="40" t="s">
        <v>23</v>
      </c>
      <c r="C156" s="1" t="s">
        <v>39</v>
      </c>
      <c r="D156" s="1" t="s">
        <v>7</v>
      </c>
      <c r="E156" s="1">
        <v>2</v>
      </c>
      <c r="F156" s="32">
        <v>170</v>
      </c>
    </row>
    <row r="157" spans="1:6" x14ac:dyDescent="0.2">
      <c r="A157" s="31">
        <v>44488</v>
      </c>
      <c r="B157" s="40" t="s">
        <v>24</v>
      </c>
      <c r="C157" s="1" t="s">
        <v>39</v>
      </c>
      <c r="D157" s="1" t="s">
        <v>2</v>
      </c>
      <c r="E157" s="1">
        <v>3</v>
      </c>
      <c r="F157" s="32">
        <v>45</v>
      </c>
    </row>
    <row r="158" spans="1:6" x14ac:dyDescent="0.2">
      <c r="A158" s="31">
        <v>44488</v>
      </c>
      <c r="B158" s="40" t="s">
        <v>24</v>
      </c>
      <c r="C158" s="1" t="s">
        <v>39</v>
      </c>
      <c r="D158" s="1" t="s">
        <v>13</v>
      </c>
      <c r="E158" s="1">
        <v>1</v>
      </c>
      <c r="F158" s="32">
        <v>75</v>
      </c>
    </row>
    <row r="159" spans="1:6" x14ac:dyDescent="0.2">
      <c r="A159" s="31">
        <v>44488</v>
      </c>
      <c r="B159" s="40" t="s">
        <v>24</v>
      </c>
      <c r="C159" s="1" t="s">
        <v>39</v>
      </c>
      <c r="D159" s="1" t="s">
        <v>6</v>
      </c>
      <c r="E159" s="1">
        <v>12</v>
      </c>
      <c r="F159" s="32">
        <v>155</v>
      </c>
    </row>
    <row r="160" spans="1:6" x14ac:dyDescent="0.2">
      <c r="A160" s="31">
        <v>44488</v>
      </c>
      <c r="B160" s="40" t="s">
        <v>24</v>
      </c>
      <c r="C160" s="1" t="s">
        <v>39</v>
      </c>
      <c r="D160" s="1" t="s">
        <v>1</v>
      </c>
      <c r="E160" s="1">
        <v>5</v>
      </c>
      <c r="F160" s="32">
        <v>70</v>
      </c>
    </row>
    <row r="161" spans="1:6" x14ac:dyDescent="0.2">
      <c r="A161" s="31">
        <v>44488</v>
      </c>
      <c r="B161" s="40" t="s">
        <v>24</v>
      </c>
      <c r="C161" s="1" t="s">
        <v>39</v>
      </c>
      <c r="D161" s="1" t="s">
        <v>11</v>
      </c>
      <c r="E161" s="1">
        <v>42</v>
      </c>
      <c r="F161" s="32">
        <v>252</v>
      </c>
    </row>
    <row r="162" spans="1:6" x14ac:dyDescent="0.2">
      <c r="A162" s="31">
        <v>44488</v>
      </c>
      <c r="B162" s="40" t="s">
        <v>24</v>
      </c>
      <c r="C162" s="1" t="s">
        <v>39</v>
      </c>
      <c r="D162" s="1" t="s">
        <v>7</v>
      </c>
      <c r="E162" s="1">
        <v>9</v>
      </c>
      <c r="F162" s="32">
        <v>341</v>
      </c>
    </row>
    <row r="163" spans="1:6" x14ac:dyDescent="0.2">
      <c r="A163" s="31">
        <v>44489</v>
      </c>
      <c r="B163" s="40" t="s">
        <v>25</v>
      </c>
      <c r="C163" s="1" t="s">
        <v>39</v>
      </c>
      <c r="D163" s="1" t="s">
        <v>5</v>
      </c>
      <c r="E163" s="1">
        <v>3</v>
      </c>
      <c r="F163" s="32">
        <v>159</v>
      </c>
    </row>
    <row r="164" spans="1:6" x14ac:dyDescent="0.2">
      <c r="A164" s="31">
        <v>44489</v>
      </c>
      <c r="B164" s="40" t="s">
        <v>25</v>
      </c>
      <c r="C164" s="1" t="s">
        <v>39</v>
      </c>
      <c r="D164" s="1" t="s">
        <v>2</v>
      </c>
      <c r="E164" s="1">
        <v>8</v>
      </c>
      <c r="F164" s="32">
        <v>120</v>
      </c>
    </row>
    <row r="165" spans="1:6" x14ac:dyDescent="0.2">
      <c r="A165" s="31">
        <v>44489</v>
      </c>
      <c r="B165" s="40" t="s">
        <v>25</v>
      </c>
      <c r="C165" s="1" t="s">
        <v>39</v>
      </c>
      <c r="D165" s="1" t="s">
        <v>13</v>
      </c>
      <c r="E165" s="1">
        <v>3</v>
      </c>
      <c r="F165" s="32">
        <v>225</v>
      </c>
    </row>
    <row r="166" spans="1:6" x14ac:dyDescent="0.2">
      <c r="A166" s="31">
        <v>44470</v>
      </c>
      <c r="B166" s="40" t="s">
        <v>20</v>
      </c>
      <c r="C166" s="1" t="s">
        <v>37</v>
      </c>
      <c r="D166" s="13" t="s">
        <v>6</v>
      </c>
      <c r="E166" s="13">
        <v>6</v>
      </c>
      <c r="F166" s="46">
        <v>275.00006199999996</v>
      </c>
    </row>
    <row r="167" spans="1:6" x14ac:dyDescent="0.2">
      <c r="A167" s="31">
        <v>44489</v>
      </c>
      <c r="B167" s="40" t="s">
        <v>25</v>
      </c>
      <c r="C167" s="1" t="s">
        <v>39</v>
      </c>
      <c r="D167" s="1" t="s">
        <v>1</v>
      </c>
      <c r="E167" s="1">
        <v>8</v>
      </c>
      <c r="F167" s="32">
        <v>130</v>
      </c>
    </row>
    <row r="168" spans="1:6" x14ac:dyDescent="0.2">
      <c r="A168" s="31">
        <v>44489</v>
      </c>
      <c r="B168" s="40" t="s">
        <v>25</v>
      </c>
      <c r="C168" s="1" t="s">
        <v>39</v>
      </c>
      <c r="D168" s="1" t="s">
        <v>11</v>
      </c>
      <c r="E168" s="1">
        <v>18</v>
      </c>
      <c r="F168" s="32">
        <v>108</v>
      </c>
    </row>
    <row r="169" spans="1:6" x14ac:dyDescent="0.2">
      <c r="A169" s="31">
        <v>44489</v>
      </c>
      <c r="B169" s="40" t="s">
        <v>25</v>
      </c>
      <c r="C169" s="1" t="s">
        <v>39</v>
      </c>
      <c r="D169" s="1" t="s">
        <v>0</v>
      </c>
      <c r="E169" s="1">
        <v>10</v>
      </c>
      <c r="F169" s="32">
        <v>290</v>
      </c>
    </row>
    <row r="170" spans="1:6" x14ac:dyDescent="0.2">
      <c r="A170" s="31">
        <v>44489</v>
      </c>
      <c r="B170" s="40" t="s">
        <v>25</v>
      </c>
      <c r="C170" s="1" t="s">
        <v>39</v>
      </c>
      <c r="D170" s="37" t="s">
        <v>50</v>
      </c>
      <c r="E170" s="1">
        <v>1</v>
      </c>
      <c r="F170" s="32">
        <v>85</v>
      </c>
    </row>
    <row r="171" spans="1:6" x14ac:dyDescent="0.2">
      <c r="A171" s="31">
        <v>44490</v>
      </c>
      <c r="B171" s="40" t="s">
        <v>26</v>
      </c>
      <c r="C171" s="1" t="s">
        <v>39</v>
      </c>
      <c r="D171" s="1" t="s">
        <v>5</v>
      </c>
      <c r="E171" s="1">
        <v>5</v>
      </c>
      <c r="F171" s="32">
        <v>108</v>
      </c>
    </row>
    <row r="172" spans="1:6" x14ac:dyDescent="0.2">
      <c r="A172" s="31">
        <v>44490</v>
      </c>
      <c r="B172" s="40" t="s">
        <v>26</v>
      </c>
      <c r="C172" s="1" t="s">
        <v>39</v>
      </c>
      <c r="D172" s="1" t="s">
        <v>13</v>
      </c>
      <c r="E172" s="1">
        <v>5</v>
      </c>
      <c r="F172" s="32">
        <v>375</v>
      </c>
    </row>
    <row r="173" spans="1:6" x14ac:dyDescent="0.2">
      <c r="A173" s="31">
        <v>44489</v>
      </c>
      <c r="B173" s="40" t="s">
        <v>25</v>
      </c>
      <c r="C173" s="1" t="s">
        <v>39</v>
      </c>
      <c r="D173" s="1" t="s">
        <v>6</v>
      </c>
      <c r="E173" s="1">
        <v>4</v>
      </c>
      <c r="F173" s="32">
        <v>120</v>
      </c>
    </row>
    <row r="174" spans="1:6" x14ac:dyDescent="0.2">
      <c r="A174" s="31">
        <v>44490</v>
      </c>
      <c r="B174" s="40" t="s">
        <v>26</v>
      </c>
      <c r="C174" s="1" t="s">
        <v>39</v>
      </c>
      <c r="D174" s="1" t="s">
        <v>1</v>
      </c>
      <c r="E174" s="1">
        <v>11</v>
      </c>
      <c r="F174" s="32">
        <v>120</v>
      </c>
    </row>
    <row r="175" spans="1:6" x14ac:dyDescent="0.2">
      <c r="A175" s="31">
        <v>44490</v>
      </c>
      <c r="B175" s="40" t="s">
        <v>26</v>
      </c>
      <c r="C175" s="1" t="s">
        <v>39</v>
      </c>
      <c r="D175" s="1" t="s">
        <v>0</v>
      </c>
      <c r="E175" s="1">
        <v>12</v>
      </c>
      <c r="F175" s="32">
        <v>260</v>
      </c>
    </row>
    <row r="176" spans="1:6" x14ac:dyDescent="0.2">
      <c r="A176" s="31">
        <v>44490</v>
      </c>
      <c r="B176" s="40" t="s">
        <v>26</v>
      </c>
      <c r="C176" s="1" t="s">
        <v>39</v>
      </c>
      <c r="D176" s="37" t="s">
        <v>50</v>
      </c>
      <c r="E176" s="1">
        <v>1</v>
      </c>
      <c r="F176" s="32">
        <v>85</v>
      </c>
    </row>
    <row r="177" spans="1:6" x14ac:dyDescent="0.2">
      <c r="A177" s="31">
        <v>44490</v>
      </c>
      <c r="B177" s="40" t="s">
        <v>26</v>
      </c>
      <c r="C177" s="1" t="s">
        <v>39</v>
      </c>
      <c r="D177" s="1" t="s">
        <v>7</v>
      </c>
      <c r="E177" s="1">
        <v>3</v>
      </c>
      <c r="F177" s="32">
        <v>201</v>
      </c>
    </row>
    <row r="178" spans="1:6" x14ac:dyDescent="0.2">
      <c r="A178" s="31">
        <v>44491</v>
      </c>
      <c r="B178" s="40" t="s">
        <v>20</v>
      </c>
      <c r="C178" s="1" t="s">
        <v>40</v>
      </c>
      <c r="D178" s="1" t="s">
        <v>5</v>
      </c>
      <c r="E178" s="1">
        <v>1</v>
      </c>
      <c r="F178" s="32">
        <v>48</v>
      </c>
    </row>
    <row r="179" spans="1:6" x14ac:dyDescent="0.2">
      <c r="A179" s="31">
        <v>44491</v>
      </c>
      <c r="B179" s="40" t="s">
        <v>20</v>
      </c>
      <c r="C179" s="1" t="s">
        <v>40</v>
      </c>
      <c r="D179" s="1" t="s">
        <v>2</v>
      </c>
      <c r="E179" s="1">
        <v>7</v>
      </c>
      <c r="F179" s="32">
        <v>105</v>
      </c>
    </row>
    <row r="180" spans="1:6" x14ac:dyDescent="0.2">
      <c r="A180" s="31">
        <v>44480</v>
      </c>
      <c r="B180" s="40" t="s">
        <v>23</v>
      </c>
      <c r="C180" s="1" t="s">
        <v>38</v>
      </c>
      <c r="D180" s="1" t="s">
        <v>6</v>
      </c>
      <c r="E180" s="1">
        <v>5</v>
      </c>
      <c r="F180" s="32">
        <v>710</v>
      </c>
    </row>
    <row r="181" spans="1:6" x14ac:dyDescent="0.2">
      <c r="A181" s="31">
        <v>44491</v>
      </c>
      <c r="B181" s="40" t="s">
        <v>20</v>
      </c>
      <c r="C181" s="1" t="s">
        <v>40</v>
      </c>
      <c r="D181" s="1" t="s">
        <v>1</v>
      </c>
      <c r="E181" s="1">
        <v>19</v>
      </c>
      <c r="F181" s="32">
        <v>370</v>
      </c>
    </row>
    <row r="182" spans="1:6" x14ac:dyDescent="0.2">
      <c r="A182" s="31">
        <v>44491</v>
      </c>
      <c r="B182" s="40" t="s">
        <v>20</v>
      </c>
      <c r="C182" s="1" t="s">
        <v>40</v>
      </c>
      <c r="D182" s="1" t="s">
        <v>0</v>
      </c>
      <c r="E182" s="1">
        <v>3</v>
      </c>
      <c r="F182" s="32">
        <v>90</v>
      </c>
    </row>
    <row r="183" spans="1:6" x14ac:dyDescent="0.2">
      <c r="A183" s="31">
        <v>44491</v>
      </c>
      <c r="B183" s="40" t="s">
        <v>20</v>
      </c>
      <c r="C183" s="1" t="s">
        <v>40</v>
      </c>
      <c r="D183" s="37" t="s">
        <v>50</v>
      </c>
      <c r="E183" s="1">
        <v>14</v>
      </c>
      <c r="F183" s="32">
        <v>1032</v>
      </c>
    </row>
    <row r="184" spans="1:6" x14ac:dyDescent="0.2">
      <c r="A184" s="31">
        <v>44491</v>
      </c>
      <c r="B184" s="40" t="s">
        <v>20</v>
      </c>
      <c r="C184" s="1" t="s">
        <v>40</v>
      </c>
      <c r="D184" s="1" t="s">
        <v>7</v>
      </c>
      <c r="E184" s="1">
        <v>2</v>
      </c>
      <c r="F184" s="32">
        <v>150</v>
      </c>
    </row>
    <row r="185" spans="1:6" x14ac:dyDescent="0.2">
      <c r="A185" s="31">
        <v>44492</v>
      </c>
      <c r="B185" s="40" t="s">
        <v>21</v>
      </c>
      <c r="C185" s="1" t="s">
        <v>40</v>
      </c>
      <c r="D185" s="1" t="s">
        <v>5</v>
      </c>
      <c r="E185" s="1">
        <v>4</v>
      </c>
      <c r="F185" s="32">
        <v>84</v>
      </c>
    </row>
    <row r="186" spans="1:6" x14ac:dyDescent="0.2">
      <c r="A186" s="31">
        <v>44492</v>
      </c>
      <c r="B186" s="40" t="s">
        <v>21</v>
      </c>
      <c r="C186" s="1" t="s">
        <v>40</v>
      </c>
      <c r="D186" s="1" t="s">
        <v>2</v>
      </c>
      <c r="E186" s="1">
        <v>2</v>
      </c>
      <c r="F186" s="32">
        <v>30</v>
      </c>
    </row>
    <row r="187" spans="1:6" x14ac:dyDescent="0.2">
      <c r="A187" s="31">
        <v>44492</v>
      </c>
      <c r="B187" s="40" t="s">
        <v>21</v>
      </c>
      <c r="C187" s="1" t="s">
        <v>40</v>
      </c>
      <c r="D187" s="1" t="s">
        <v>13</v>
      </c>
      <c r="E187" s="1">
        <v>3</v>
      </c>
      <c r="F187" s="32">
        <v>225</v>
      </c>
    </row>
    <row r="188" spans="1:6" x14ac:dyDescent="0.2">
      <c r="A188" s="31">
        <v>44492</v>
      </c>
      <c r="B188" s="40" t="s">
        <v>21</v>
      </c>
      <c r="C188" s="1" t="s">
        <v>40</v>
      </c>
      <c r="D188" s="1" t="s">
        <v>6</v>
      </c>
      <c r="E188" s="1">
        <v>9</v>
      </c>
      <c r="F188" s="32">
        <v>115</v>
      </c>
    </row>
    <row r="189" spans="1:6" x14ac:dyDescent="0.2">
      <c r="A189" s="31">
        <v>44492</v>
      </c>
      <c r="B189" s="40" t="s">
        <v>21</v>
      </c>
      <c r="C189" s="1" t="s">
        <v>40</v>
      </c>
      <c r="D189" s="1" t="s">
        <v>1</v>
      </c>
      <c r="E189" s="1">
        <v>21</v>
      </c>
      <c r="F189" s="32">
        <v>240</v>
      </c>
    </row>
    <row r="190" spans="1:6" x14ac:dyDescent="0.2">
      <c r="A190" s="31">
        <v>44492</v>
      </c>
      <c r="B190" s="40" t="s">
        <v>21</v>
      </c>
      <c r="C190" s="1" t="s">
        <v>40</v>
      </c>
      <c r="D190" s="1" t="s">
        <v>11</v>
      </c>
      <c r="E190" s="1">
        <v>120</v>
      </c>
      <c r="F190" s="32">
        <v>810</v>
      </c>
    </row>
    <row r="191" spans="1:6" x14ac:dyDescent="0.2">
      <c r="A191" s="31">
        <v>44492</v>
      </c>
      <c r="B191" s="40" t="s">
        <v>21</v>
      </c>
      <c r="C191" s="1" t="s">
        <v>40</v>
      </c>
      <c r="D191" s="1" t="s">
        <v>0</v>
      </c>
      <c r="E191" s="1">
        <v>24</v>
      </c>
      <c r="F191" s="32">
        <v>465</v>
      </c>
    </row>
    <row r="192" spans="1:6" x14ac:dyDescent="0.2">
      <c r="A192" s="31">
        <v>44492</v>
      </c>
      <c r="B192" s="40" t="s">
        <v>21</v>
      </c>
      <c r="C192" s="1" t="s">
        <v>40</v>
      </c>
      <c r="D192" s="37" t="s">
        <v>50</v>
      </c>
      <c r="E192" s="1">
        <v>7</v>
      </c>
      <c r="F192" s="32">
        <v>400</v>
      </c>
    </row>
    <row r="193" spans="1:6" x14ac:dyDescent="0.2">
      <c r="A193" s="31">
        <v>44492</v>
      </c>
      <c r="B193" s="40" t="s">
        <v>21</v>
      </c>
      <c r="C193" s="1" t="s">
        <v>40</v>
      </c>
      <c r="D193" s="1" t="s">
        <v>7</v>
      </c>
      <c r="E193" s="1">
        <v>4</v>
      </c>
      <c r="F193" s="32">
        <v>100</v>
      </c>
    </row>
    <row r="194" spans="1:6" x14ac:dyDescent="0.2">
      <c r="A194" s="31">
        <v>44493</v>
      </c>
      <c r="B194" s="40" t="s">
        <v>22</v>
      </c>
      <c r="C194" s="1" t="s">
        <v>40</v>
      </c>
      <c r="D194" s="1" t="s">
        <v>35</v>
      </c>
      <c r="E194" s="1" t="s">
        <v>35</v>
      </c>
      <c r="F194" s="32" t="s">
        <v>35</v>
      </c>
    </row>
    <row r="195" spans="1:6" x14ac:dyDescent="0.2">
      <c r="A195" s="31">
        <v>44494</v>
      </c>
      <c r="B195" s="40" t="s">
        <v>23</v>
      </c>
      <c r="C195" s="1" t="s">
        <v>40</v>
      </c>
      <c r="D195" s="1" t="s">
        <v>35</v>
      </c>
      <c r="E195" s="1" t="s">
        <v>35</v>
      </c>
      <c r="F195" s="32" t="s">
        <v>35</v>
      </c>
    </row>
    <row r="196" spans="1:6" x14ac:dyDescent="0.2">
      <c r="A196" s="31">
        <v>44495</v>
      </c>
      <c r="B196" s="40" t="s">
        <v>24</v>
      </c>
      <c r="C196" s="1" t="s">
        <v>40</v>
      </c>
      <c r="D196" s="1" t="s">
        <v>5</v>
      </c>
      <c r="E196" s="1">
        <v>14</v>
      </c>
      <c r="F196" s="32">
        <v>370</v>
      </c>
    </row>
    <row r="197" spans="1:6" x14ac:dyDescent="0.2">
      <c r="A197" s="31">
        <v>44495</v>
      </c>
      <c r="B197" s="40" t="s">
        <v>24</v>
      </c>
      <c r="C197" s="1" t="s">
        <v>40</v>
      </c>
      <c r="D197" s="1" t="s">
        <v>12</v>
      </c>
      <c r="E197" s="1">
        <v>6</v>
      </c>
      <c r="F197" s="32">
        <v>120</v>
      </c>
    </row>
    <row r="198" spans="1:6" x14ac:dyDescent="0.2">
      <c r="A198" s="31">
        <v>44495</v>
      </c>
      <c r="B198" s="40" t="s">
        <v>24</v>
      </c>
      <c r="C198" s="1" t="s">
        <v>40</v>
      </c>
      <c r="D198" s="1" t="s">
        <v>13</v>
      </c>
      <c r="E198" s="1">
        <v>5</v>
      </c>
      <c r="F198" s="32">
        <v>375</v>
      </c>
    </row>
    <row r="199" spans="1:6" x14ac:dyDescent="0.2">
      <c r="A199" s="31">
        <v>44495</v>
      </c>
      <c r="B199" s="40" t="s">
        <v>24</v>
      </c>
      <c r="C199" s="1" t="s">
        <v>40</v>
      </c>
      <c r="D199" s="1" t="s">
        <v>6</v>
      </c>
      <c r="E199" s="1">
        <v>13</v>
      </c>
      <c r="F199" s="32">
        <v>160</v>
      </c>
    </row>
    <row r="200" spans="1:6" x14ac:dyDescent="0.2">
      <c r="A200" s="31">
        <v>44495</v>
      </c>
      <c r="B200" s="40" t="s">
        <v>24</v>
      </c>
      <c r="C200" s="1" t="s">
        <v>40</v>
      </c>
      <c r="D200" s="1" t="s">
        <v>1</v>
      </c>
      <c r="E200" s="1">
        <v>8</v>
      </c>
      <c r="F200" s="32">
        <v>80</v>
      </c>
    </row>
    <row r="201" spans="1:6" x14ac:dyDescent="0.2">
      <c r="A201" s="31">
        <v>44495</v>
      </c>
      <c r="B201" s="40" t="s">
        <v>24</v>
      </c>
      <c r="C201" s="1" t="s">
        <v>40</v>
      </c>
      <c r="D201" s="1" t="s">
        <v>11</v>
      </c>
      <c r="E201" s="1">
        <v>66</v>
      </c>
      <c r="F201" s="32">
        <v>429.6</v>
      </c>
    </row>
    <row r="202" spans="1:6" x14ac:dyDescent="0.2">
      <c r="A202" s="31">
        <v>44495</v>
      </c>
      <c r="B202" s="40" t="s">
        <v>24</v>
      </c>
      <c r="C202" s="1" t="s">
        <v>40</v>
      </c>
      <c r="D202" s="37" t="s">
        <v>50</v>
      </c>
      <c r="E202" s="1">
        <v>7</v>
      </c>
      <c r="F202" s="32">
        <v>637</v>
      </c>
    </row>
    <row r="203" spans="1:6" x14ac:dyDescent="0.2">
      <c r="A203" s="31">
        <v>44495</v>
      </c>
      <c r="B203" s="40" t="s">
        <v>24</v>
      </c>
      <c r="C203" s="1" t="s">
        <v>40</v>
      </c>
      <c r="D203" s="1" t="s">
        <v>7</v>
      </c>
      <c r="E203" s="1">
        <v>12</v>
      </c>
      <c r="F203" s="32">
        <v>361</v>
      </c>
    </row>
    <row r="204" spans="1:6" x14ac:dyDescent="0.2">
      <c r="A204" s="31">
        <v>44496</v>
      </c>
      <c r="B204" s="40" t="s">
        <v>25</v>
      </c>
      <c r="C204" s="1" t="s">
        <v>40</v>
      </c>
      <c r="D204" s="1" t="s">
        <v>5</v>
      </c>
      <c r="E204" s="1">
        <v>10</v>
      </c>
      <c r="F204" s="32">
        <v>373</v>
      </c>
    </row>
    <row r="205" spans="1:6" x14ac:dyDescent="0.2">
      <c r="A205" s="31">
        <v>44496</v>
      </c>
      <c r="B205" s="40" t="s">
        <v>25</v>
      </c>
      <c r="C205" s="1" t="s">
        <v>40</v>
      </c>
      <c r="D205" s="1" t="s">
        <v>2</v>
      </c>
      <c r="E205" s="1">
        <v>5</v>
      </c>
      <c r="F205" s="32">
        <v>75</v>
      </c>
    </row>
    <row r="206" spans="1:6" x14ac:dyDescent="0.2">
      <c r="A206" s="31">
        <v>44497</v>
      </c>
      <c r="B206" s="40" t="s">
        <v>26</v>
      </c>
      <c r="C206" s="1" t="s">
        <v>40</v>
      </c>
      <c r="D206" s="1" t="s">
        <v>6</v>
      </c>
      <c r="E206" s="1">
        <v>18</v>
      </c>
      <c r="F206" s="32">
        <v>250</v>
      </c>
    </row>
    <row r="207" spans="1:6" x14ac:dyDescent="0.2">
      <c r="A207" s="31">
        <v>44496</v>
      </c>
      <c r="B207" s="40" t="s">
        <v>25</v>
      </c>
      <c r="C207" s="1" t="s">
        <v>40</v>
      </c>
      <c r="D207" s="1" t="s">
        <v>1</v>
      </c>
      <c r="E207" s="1">
        <v>9</v>
      </c>
      <c r="F207" s="32">
        <v>130</v>
      </c>
    </row>
    <row r="208" spans="1:6" x14ac:dyDescent="0.2">
      <c r="A208" s="31">
        <v>44496</v>
      </c>
      <c r="B208" s="40" t="s">
        <v>25</v>
      </c>
      <c r="C208" s="1" t="s">
        <v>40</v>
      </c>
      <c r="D208" s="1" t="s">
        <v>11</v>
      </c>
      <c r="E208" s="1">
        <v>94</v>
      </c>
      <c r="F208" s="32">
        <v>611</v>
      </c>
    </row>
    <row r="209" spans="1:6" x14ac:dyDescent="0.2">
      <c r="A209" s="31">
        <v>44496</v>
      </c>
      <c r="B209" s="40" t="s">
        <v>25</v>
      </c>
      <c r="C209" s="1" t="s">
        <v>40</v>
      </c>
      <c r="D209" s="1" t="s">
        <v>16</v>
      </c>
      <c r="E209" s="1">
        <v>20</v>
      </c>
      <c r="F209" s="32">
        <v>520</v>
      </c>
    </row>
    <row r="210" spans="1:6" x14ac:dyDescent="0.2">
      <c r="A210" s="31">
        <v>44496</v>
      </c>
      <c r="B210" s="40" t="s">
        <v>25</v>
      </c>
      <c r="C210" s="1" t="s">
        <v>40</v>
      </c>
      <c r="D210" s="1" t="s">
        <v>0</v>
      </c>
      <c r="E210" s="1">
        <v>8</v>
      </c>
      <c r="F210" s="32">
        <v>220</v>
      </c>
    </row>
    <row r="211" spans="1:6" x14ac:dyDescent="0.2">
      <c r="A211" s="31">
        <v>44496</v>
      </c>
      <c r="B211" s="40" t="s">
        <v>25</v>
      </c>
      <c r="C211" s="1" t="s">
        <v>40</v>
      </c>
      <c r="D211" s="37" t="s">
        <v>50</v>
      </c>
      <c r="E211" s="1">
        <v>8</v>
      </c>
      <c r="F211" s="32">
        <v>557</v>
      </c>
    </row>
    <row r="212" spans="1:6" x14ac:dyDescent="0.2">
      <c r="A212" s="31">
        <v>44497</v>
      </c>
      <c r="B212" s="40" t="s">
        <v>26</v>
      </c>
      <c r="C212" s="1" t="s">
        <v>40</v>
      </c>
      <c r="D212" s="1" t="s">
        <v>2</v>
      </c>
      <c r="E212" s="1">
        <v>1</v>
      </c>
      <c r="F212" s="32">
        <v>15</v>
      </c>
    </row>
    <row r="213" spans="1:6" x14ac:dyDescent="0.2">
      <c r="A213" s="31">
        <v>44497</v>
      </c>
      <c r="B213" s="40" t="s">
        <v>26</v>
      </c>
      <c r="C213" s="1" t="s">
        <v>40</v>
      </c>
      <c r="D213" s="1" t="s">
        <v>13</v>
      </c>
      <c r="E213" s="1">
        <v>2</v>
      </c>
      <c r="F213" s="32">
        <v>150</v>
      </c>
    </row>
    <row r="214" spans="1:6" x14ac:dyDescent="0.2">
      <c r="A214" s="31">
        <v>44498</v>
      </c>
      <c r="B214" s="40" t="s">
        <v>20</v>
      </c>
      <c r="C214" s="1" t="s">
        <v>40</v>
      </c>
      <c r="D214" s="1" t="s">
        <v>6</v>
      </c>
      <c r="E214" s="1">
        <v>10</v>
      </c>
      <c r="F214" s="32">
        <v>140</v>
      </c>
    </row>
    <row r="215" spans="1:6" x14ac:dyDescent="0.2">
      <c r="A215" s="31">
        <v>44497</v>
      </c>
      <c r="B215" s="40" t="s">
        <v>26</v>
      </c>
      <c r="C215" s="1" t="s">
        <v>40</v>
      </c>
      <c r="D215" s="1" t="s">
        <v>1</v>
      </c>
      <c r="E215" s="1">
        <v>7</v>
      </c>
      <c r="F215" s="32">
        <v>110</v>
      </c>
    </row>
    <row r="216" spans="1:6" x14ac:dyDescent="0.2">
      <c r="A216" s="31">
        <v>44497</v>
      </c>
      <c r="B216" s="40" t="s">
        <v>26</v>
      </c>
      <c r="C216" s="1" t="s">
        <v>40</v>
      </c>
      <c r="D216" s="1" t="s">
        <v>11</v>
      </c>
      <c r="E216" s="1">
        <v>36</v>
      </c>
      <c r="F216" s="32">
        <v>234</v>
      </c>
    </row>
    <row r="217" spans="1:6" x14ac:dyDescent="0.2">
      <c r="A217" s="31">
        <v>44497</v>
      </c>
      <c r="B217" s="40" t="s">
        <v>26</v>
      </c>
      <c r="C217" s="1" t="s">
        <v>40</v>
      </c>
      <c r="D217" s="1" t="s">
        <v>0</v>
      </c>
      <c r="E217" s="1">
        <v>7</v>
      </c>
      <c r="F217" s="32">
        <v>240</v>
      </c>
    </row>
    <row r="218" spans="1:6" x14ac:dyDescent="0.2">
      <c r="A218" s="31">
        <v>44497</v>
      </c>
      <c r="B218" s="40" t="s">
        <v>26</v>
      </c>
      <c r="C218" s="1" t="s">
        <v>40</v>
      </c>
      <c r="D218" s="37" t="s">
        <v>50</v>
      </c>
      <c r="E218" s="1">
        <v>6</v>
      </c>
      <c r="F218" s="32">
        <v>597</v>
      </c>
    </row>
    <row r="219" spans="1:6" x14ac:dyDescent="0.2">
      <c r="A219" s="31">
        <v>44497</v>
      </c>
      <c r="B219" s="40" t="s">
        <v>26</v>
      </c>
      <c r="C219" s="1" t="s">
        <v>40</v>
      </c>
      <c r="D219" s="1" t="s">
        <v>7</v>
      </c>
      <c r="E219" s="1">
        <v>4</v>
      </c>
      <c r="F219" s="32">
        <v>332</v>
      </c>
    </row>
    <row r="220" spans="1:6" x14ac:dyDescent="0.2">
      <c r="A220" s="31">
        <v>44498</v>
      </c>
      <c r="B220" s="40" t="s">
        <v>20</v>
      </c>
      <c r="C220" s="1" t="s">
        <v>40</v>
      </c>
      <c r="D220" s="1" t="s">
        <v>5</v>
      </c>
      <c r="E220" s="1">
        <v>5</v>
      </c>
      <c r="F220" s="32">
        <v>237</v>
      </c>
    </row>
    <row r="221" spans="1:6" x14ac:dyDescent="0.2">
      <c r="A221" s="31">
        <v>44498</v>
      </c>
      <c r="B221" s="40" t="s">
        <v>20</v>
      </c>
      <c r="C221" s="1" t="s">
        <v>40</v>
      </c>
      <c r="D221" s="1" t="s">
        <v>13</v>
      </c>
      <c r="E221" s="1">
        <v>2</v>
      </c>
      <c r="F221" s="32">
        <v>150</v>
      </c>
    </row>
    <row r="222" spans="1:6" x14ac:dyDescent="0.2">
      <c r="A222" s="31">
        <v>44496</v>
      </c>
      <c r="B222" s="40" t="s">
        <v>25</v>
      </c>
      <c r="C222" s="1" t="s">
        <v>40</v>
      </c>
      <c r="D222" s="1" t="s">
        <v>6</v>
      </c>
      <c r="E222" s="1">
        <v>2</v>
      </c>
      <c r="F222" s="32">
        <v>180</v>
      </c>
    </row>
    <row r="223" spans="1:6" x14ac:dyDescent="0.2">
      <c r="A223" s="31">
        <v>44498</v>
      </c>
      <c r="B223" s="40" t="s">
        <v>20</v>
      </c>
      <c r="C223" s="1" t="s">
        <v>40</v>
      </c>
      <c r="D223" s="1" t="s">
        <v>1</v>
      </c>
      <c r="E223" s="1">
        <v>15</v>
      </c>
      <c r="F223" s="32">
        <v>445</v>
      </c>
    </row>
    <row r="224" spans="1:6" x14ac:dyDescent="0.2">
      <c r="A224" s="31">
        <v>44498</v>
      </c>
      <c r="B224" s="40" t="s">
        <v>20</v>
      </c>
      <c r="C224" s="1" t="s">
        <v>40</v>
      </c>
      <c r="D224" s="1" t="s">
        <v>11</v>
      </c>
      <c r="E224" s="1">
        <v>16</v>
      </c>
      <c r="F224" s="32">
        <v>104</v>
      </c>
    </row>
    <row r="225" spans="1:6" x14ac:dyDescent="0.2">
      <c r="A225" s="31">
        <v>44498</v>
      </c>
      <c r="B225" s="40" t="s">
        <v>20</v>
      </c>
      <c r="C225" s="1" t="s">
        <v>40</v>
      </c>
      <c r="D225" s="1" t="s">
        <v>0</v>
      </c>
      <c r="E225" s="1">
        <v>13</v>
      </c>
      <c r="F225" s="32">
        <v>230</v>
      </c>
    </row>
    <row r="226" spans="1:6" x14ac:dyDescent="0.2">
      <c r="A226" s="31">
        <v>44498</v>
      </c>
      <c r="B226" s="40" t="s">
        <v>20</v>
      </c>
      <c r="C226" s="1" t="s">
        <v>40</v>
      </c>
      <c r="D226" s="37" t="s">
        <v>50</v>
      </c>
      <c r="E226" s="1">
        <v>13</v>
      </c>
      <c r="F226" s="32">
        <v>1149</v>
      </c>
    </row>
    <row r="227" spans="1:6" x14ac:dyDescent="0.2">
      <c r="A227" s="31">
        <v>44498</v>
      </c>
      <c r="B227" s="40" t="s">
        <v>20</v>
      </c>
      <c r="C227" s="1" t="s">
        <v>40</v>
      </c>
      <c r="D227" s="1" t="s">
        <v>7</v>
      </c>
      <c r="E227" s="1">
        <v>3</v>
      </c>
      <c r="F227" s="32">
        <v>115</v>
      </c>
    </row>
    <row r="228" spans="1:6" x14ac:dyDescent="0.2">
      <c r="A228" s="31">
        <v>44499</v>
      </c>
      <c r="B228" s="40" t="s">
        <v>21</v>
      </c>
      <c r="C228" s="1" t="s">
        <v>40</v>
      </c>
      <c r="D228" s="1" t="s">
        <v>5</v>
      </c>
      <c r="E228" s="1">
        <v>11</v>
      </c>
      <c r="F228" s="32">
        <v>234</v>
      </c>
    </row>
    <row r="229" spans="1:6" x14ac:dyDescent="0.2">
      <c r="A229" s="31">
        <v>44499</v>
      </c>
      <c r="B229" s="40" t="s">
        <v>21</v>
      </c>
      <c r="C229" s="1" t="s">
        <v>40</v>
      </c>
      <c r="D229" s="1" t="s">
        <v>2</v>
      </c>
      <c r="E229" s="1">
        <v>6</v>
      </c>
      <c r="F229" s="32">
        <v>90</v>
      </c>
    </row>
    <row r="230" spans="1:6" x14ac:dyDescent="0.2">
      <c r="A230" s="31">
        <v>44499</v>
      </c>
      <c r="B230" s="40" t="s">
        <v>21</v>
      </c>
      <c r="C230" s="1" t="s">
        <v>40</v>
      </c>
      <c r="D230" s="1" t="s">
        <v>12</v>
      </c>
      <c r="E230" s="1">
        <v>1</v>
      </c>
      <c r="F230" s="32">
        <v>230</v>
      </c>
    </row>
    <row r="231" spans="1:6" x14ac:dyDescent="0.2">
      <c r="A231" s="31">
        <v>44499</v>
      </c>
      <c r="B231" s="40" t="s">
        <v>21</v>
      </c>
      <c r="C231" s="1" t="s">
        <v>40</v>
      </c>
      <c r="D231" s="1" t="s">
        <v>13</v>
      </c>
      <c r="E231" s="1">
        <v>1</v>
      </c>
      <c r="F231" s="32">
        <v>75</v>
      </c>
    </row>
    <row r="232" spans="1:6" x14ac:dyDescent="0.2">
      <c r="A232" s="31">
        <v>44499</v>
      </c>
      <c r="B232" s="40" t="s">
        <v>21</v>
      </c>
      <c r="C232" s="1" t="s">
        <v>40</v>
      </c>
      <c r="D232" s="1" t="s">
        <v>6</v>
      </c>
      <c r="E232" s="1">
        <v>16</v>
      </c>
      <c r="F232" s="32">
        <v>220</v>
      </c>
    </row>
    <row r="233" spans="1:6" x14ac:dyDescent="0.2">
      <c r="A233" s="31">
        <v>44499</v>
      </c>
      <c r="B233" s="40" t="s">
        <v>21</v>
      </c>
      <c r="C233" s="1" t="s">
        <v>40</v>
      </c>
      <c r="D233" s="1" t="s">
        <v>1</v>
      </c>
      <c r="E233" s="1">
        <v>7</v>
      </c>
      <c r="F233" s="32">
        <v>80</v>
      </c>
    </row>
    <row r="234" spans="1:6" x14ac:dyDescent="0.2">
      <c r="A234" s="31">
        <v>44499</v>
      </c>
      <c r="B234" s="40" t="s">
        <v>21</v>
      </c>
      <c r="C234" s="1" t="s">
        <v>40</v>
      </c>
      <c r="D234" s="1" t="s">
        <v>0</v>
      </c>
      <c r="E234" s="1">
        <v>34</v>
      </c>
      <c r="F234" s="32">
        <v>580</v>
      </c>
    </row>
    <row r="235" spans="1:6" x14ac:dyDescent="0.2">
      <c r="A235" s="31">
        <v>44499</v>
      </c>
      <c r="B235" s="40" t="s">
        <v>21</v>
      </c>
      <c r="C235" s="1" t="s">
        <v>40</v>
      </c>
      <c r="D235" s="37" t="s">
        <v>50</v>
      </c>
      <c r="E235" s="1">
        <v>4</v>
      </c>
      <c r="F235" s="32">
        <v>225</v>
      </c>
    </row>
    <row r="236" spans="1:6" x14ac:dyDescent="0.2">
      <c r="A236" s="31">
        <v>44499</v>
      </c>
      <c r="B236" s="40" t="s">
        <v>21</v>
      </c>
      <c r="C236" s="1" t="s">
        <v>40</v>
      </c>
      <c r="D236" s="1" t="s">
        <v>7</v>
      </c>
      <c r="E236" s="1">
        <v>3</v>
      </c>
      <c r="F236" s="32">
        <v>135</v>
      </c>
    </row>
    <row r="237" spans="1:6" x14ac:dyDescent="0.2">
      <c r="A237" s="31">
        <v>44500</v>
      </c>
      <c r="B237" s="40" t="s">
        <v>22</v>
      </c>
      <c r="C237" s="1" t="s">
        <v>40</v>
      </c>
      <c r="D237" s="1" t="s">
        <v>35</v>
      </c>
      <c r="E237" s="1" t="s">
        <v>35</v>
      </c>
      <c r="F237" s="32" t="s">
        <v>35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6ECA-E964-42F8-B535-46FE96A56447}">
  <dimension ref="A1:AG266"/>
  <sheetViews>
    <sheetView zoomScale="99" zoomScaleNormal="99" workbookViewId="0">
      <selection activeCell="H16" sqref="H16"/>
    </sheetView>
  </sheetViews>
  <sheetFormatPr defaultColWidth="8.7421875" defaultRowHeight="15" x14ac:dyDescent="0.2"/>
  <cols>
    <col min="1" max="1" width="16.140625" style="51" bestFit="1" customWidth="1"/>
    <col min="2" max="2" width="18.83203125" style="51" bestFit="1" customWidth="1"/>
    <col min="3" max="4" width="10.625" style="51" bestFit="1" customWidth="1"/>
    <col min="5" max="5" width="16.140625" style="51" bestFit="1" customWidth="1"/>
    <col min="6" max="6" width="13.71875" style="51" bestFit="1" customWidth="1"/>
    <col min="7" max="7" width="14.9296875" style="51" bestFit="1" customWidth="1"/>
    <col min="8" max="9" width="10.625" style="51" bestFit="1" customWidth="1"/>
    <col min="10" max="16" width="10.22265625" style="51" bestFit="1" customWidth="1"/>
    <col min="17" max="22" width="10.625" style="51" bestFit="1" customWidth="1"/>
    <col min="23" max="25" width="3.359375" style="51" bestFit="1" customWidth="1"/>
    <col min="26" max="26" width="2.28515625" style="51" bestFit="1" customWidth="1"/>
    <col min="27" max="29" width="3.359375" style="51" bestFit="1" customWidth="1"/>
    <col min="30" max="31" width="10.22265625" style="51" bestFit="1" customWidth="1"/>
    <col min="32" max="32" width="10.0859375" style="51" bestFit="1" customWidth="1"/>
    <col min="33" max="33" width="11.296875" style="51" bestFit="1" customWidth="1"/>
    <col min="34" max="16384" width="8.7421875" style="51"/>
  </cols>
  <sheetData>
    <row r="1" spans="1:33" x14ac:dyDescent="0.2">
      <c r="A1" s="50" t="s">
        <v>8</v>
      </c>
      <c r="B1" s="51" t="s">
        <v>51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3" x14ac:dyDescent="0.2">
      <c r="A2" s="51" t="s">
        <v>35</v>
      </c>
      <c r="B2" s="51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3" x14ac:dyDescent="0.2">
      <c r="A3" s="51" t="s">
        <v>5</v>
      </c>
      <c r="B3" s="51">
        <v>137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1:33" x14ac:dyDescent="0.2">
      <c r="A4" s="51" t="s">
        <v>2</v>
      </c>
      <c r="B4" s="51">
        <v>59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</row>
    <row r="5" spans="1:33" x14ac:dyDescent="0.2">
      <c r="A5" s="51" t="s">
        <v>12</v>
      </c>
      <c r="B5" s="51">
        <v>29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</row>
    <row r="6" spans="1:33" x14ac:dyDescent="0.2">
      <c r="A6" s="51" t="s">
        <v>13</v>
      </c>
      <c r="B6" s="51">
        <v>60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1:33" x14ac:dyDescent="0.2">
      <c r="A7" s="51" t="s">
        <v>17</v>
      </c>
      <c r="B7" s="51">
        <v>24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</row>
    <row r="8" spans="1:33" x14ac:dyDescent="0.2">
      <c r="A8" s="51" t="s">
        <v>15</v>
      </c>
      <c r="B8" s="51">
        <v>37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1:33" x14ac:dyDescent="0.2">
      <c r="A9" s="51" t="s">
        <v>6</v>
      </c>
      <c r="B9" s="51">
        <v>306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</row>
    <row r="10" spans="1:33" x14ac:dyDescent="0.2">
      <c r="A10" s="51" t="s">
        <v>1</v>
      </c>
      <c r="B10" s="51">
        <v>312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</row>
    <row r="11" spans="1:33" x14ac:dyDescent="0.2">
      <c r="A11" s="51" t="s">
        <v>11</v>
      </c>
      <c r="B11" s="51">
        <v>1195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2" spans="1:33" x14ac:dyDescent="0.2">
      <c r="A12" s="51" t="s">
        <v>16</v>
      </c>
      <c r="B12" s="51">
        <v>255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 spans="1:33" x14ac:dyDescent="0.2">
      <c r="A13" s="51" t="s">
        <v>0</v>
      </c>
      <c r="B13" s="51">
        <v>241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</row>
    <row r="14" spans="1:33" x14ac:dyDescent="0.2">
      <c r="A14" s="51" t="s">
        <v>50</v>
      </c>
      <c r="B14" s="51">
        <v>198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1:33" x14ac:dyDescent="0.2">
      <c r="A15" s="51" t="s">
        <v>7</v>
      </c>
      <c r="B15" s="51">
        <v>142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 spans="1:33" x14ac:dyDescent="0.2">
      <c r="A16" s="51" t="s">
        <v>45</v>
      </c>
      <c r="B16" s="51">
        <v>2995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</row>
    <row r="17" spans="1:33" x14ac:dyDescent="0.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</row>
    <row r="18" spans="1:33" x14ac:dyDescent="0.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</row>
    <row r="19" spans="1:33" x14ac:dyDescent="0.2">
      <c r="A19" s="52"/>
      <c r="B19" s="52"/>
      <c r="C19" s="52"/>
      <c r="E19" s="51" t="s">
        <v>8</v>
      </c>
      <c r="F19" s="51" t="s">
        <v>53</v>
      </c>
    </row>
    <row r="20" spans="1:33" x14ac:dyDescent="0.2">
      <c r="A20" s="52"/>
      <c r="B20" s="52"/>
      <c r="C20" s="52"/>
      <c r="E20" s="51" t="s">
        <v>5</v>
      </c>
      <c r="F20" s="51">
        <v>137</v>
      </c>
    </row>
    <row r="21" spans="1:33" x14ac:dyDescent="0.2">
      <c r="A21" s="52"/>
      <c r="B21" s="52"/>
      <c r="C21" s="52"/>
      <c r="E21" s="51" t="s">
        <v>2</v>
      </c>
      <c r="F21" s="51">
        <v>59</v>
      </c>
    </row>
    <row r="22" spans="1:33" x14ac:dyDescent="0.2">
      <c r="A22" s="52"/>
      <c r="B22" s="52"/>
      <c r="C22" s="52"/>
      <c r="E22" s="51" t="s">
        <v>12</v>
      </c>
      <c r="F22" s="51">
        <v>29</v>
      </c>
    </row>
    <row r="23" spans="1:33" x14ac:dyDescent="0.2">
      <c r="A23" s="52"/>
      <c r="B23" s="52"/>
      <c r="C23" s="52"/>
      <c r="E23" s="51" t="s">
        <v>13</v>
      </c>
      <c r="F23" s="51">
        <v>60</v>
      </c>
    </row>
    <row r="24" spans="1:33" x14ac:dyDescent="0.2">
      <c r="A24" s="52"/>
      <c r="B24" s="52"/>
      <c r="C24" s="52"/>
      <c r="E24" s="51" t="s">
        <v>17</v>
      </c>
      <c r="F24" s="51">
        <v>24</v>
      </c>
    </row>
    <row r="25" spans="1:33" x14ac:dyDescent="0.2">
      <c r="A25" s="52"/>
      <c r="B25" s="52"/>
      <c r="C25" s="52"/>
      <c r="E25" s="51" t="s">
        <v>15</v>
      </c>
      <c r="F25" s="51">
        <v>37</v>
      </c>
    </row>
    <row r="26" spans="1:33" x14ac:dyDescent="0.2">
      <c r="A26" s="52"/>
      <c r="B26" s="52"/>
      <c r="C26" s="52"/>
      <c r="E26" s="51" t="s">
        <v>6</v>
      </c>
      <c r="F26" s="51">
        <v>306</v>
      </c>
    </row>
    <row r="27" spans="1:33" x14ac:dyDescent="0.2">
      <c r="A27" s="52"/>
      <c r="B27" s="52"/>
      <c r="C27" s="52"/>
      <c r="E27" s="51" t="s">
        <v>1</v>
      </c>
      <c r="F27" s="51">
        <v>312</v>
      </c>
    </row>
    <row r="28" spans="1:33" x14ac:dyDescent="0.2">
      <c r="A28" s="52"/>
      <c r="B28" s="52"/>
      <c r="C28" s="52"/>
      <c r="E28" s="51" t="s">
        <v>11</v>
      </c>
      <c r="F28" s="51">
        <v>1195</v>
      </c>
    </row>
    <row r="29" spans="1:33" x14ac:dyDescent="0.2">
      <c r="A29" s="52"/>
      <c r="B29" s="52"/>
      <c r="C29" s="52"/>
      <c r="E29" s="51" t="s">
        <v>16</v>
      </c>
      <c r="F29" s="51">
        <v>255</v>
      </c>
    </row>
    <row r="30" spans="1:33" x14ac:dyDescent="0.2">
      <c r="A30" s="52"/>
      <c r="B30" s="52"/>
      <c r="C30" s="52"/>
      <c r="E30" s="51" t="s">
        <v>0</v>
      </c>
      <c r="F30" s="51">
        <v>241</v>
      </c>
    </row>
    <row r="31" spans="1:33" x14ac:dyDescent="0.2">
      <c r="A31" s="52"/>
      <c r="B31" s="52"/>
      <c r="C31" s="52"/>
      <c r="E31" s="51" t="s">
        <v>4</v>
      </c>
      <c r="F31" s="51">
        <v>188</v>
      </c>
    </row>
    <row r="32" spans="1:33" x14ac:dyDescent="0.2">
      <c r="A32" s="52"/>
      <c r="B32" s="52"/>
      <c r="C32" s="52"/>
      <c r="E32" s="51" t="s">
        <v>7</v>
      </c>
      <c r="F32" s="51">
        <v>142</v>
      </c>
    </row>
    <row r="33" spans="1:7" x14ac:dyDescent="0.2">
      <c r="A33" s="52"/>
      <c r="B33" s="52"/>
      <c r="C33" s="52"/>
    </row>
    <row r="34" spans="1:7" x14ac:dyDescent="0.2">
      <c r="A34" s="52"/>
      <c r="B34" s="52"/>
    </row>
    <row r="35" spans="1:7" x14ac:dyDescent="0.2">
      <c r="A35" s="52"/>
      <c r="B35" s="52"/>
    </row>
    <row r="36" spans="1:7" x14ac:dyDescent="0.2">
      <c r="A36" s="52"/>
      <c r="B36" s="52"/>
    </row>
    <row r="37" spans="1:7" x14ac:dyDescent="0.2">
      <c r="A37" s="52"/>
      <c r="B37" s="52"/>
      <c r="E37" s="51" t="s">
        <v>8</v>
      </c>
      <c r="F37" s="51" t="s">
        <v>53</v>
      </c>
      <c r="G37" s="51" t="s">
        <v>47</v>
      </c>
    </row>
    <row r="38" spans="1:7" x14ac:dyDescent="0.2">
      <c r="A38" s="52"/>
      <c r="E38" s="51" t="s">
        <v>5</v>
      </c>
      <c r="F38" s="51">
        <v>137</v>
      </c>
      <c r="G38" s="51">
        <v>5557.0001279999997</v>
      </c>
    </row>
    <row r="39" spans="1:7" x14ac:dyDescent="0.2">
      <c r="A39" s="52"/>
      <c r="E39" s="51" t="s">
        <v>2</v>
      </c>
      <c r="F39" s="51">
        <v>59</v>
      </c>
      <c r="G39" s="51">
        <v>885.00021800000002</v>
      </c>
    </row>
    <row r="40" spans="1:7" x14ac:dyDescent="0.2">
      <c r="A40" s="52"/>
      <c r="E40" s="51" t="s">
        <v>12</v>
      </c>
      <c r="F40" s="51">
        <v>29</v>
      </c>
      <c r="G40" s="51">
        <v>780.40001000000007</v>
      </c>
    </row>
    <row r="41" spans="1:7" x14ac:dyDescent="0.2">
      <c r="A41" s="52"/>
      <c r="E41" s="51" t="s">
        <v>13</v>
      </c>
      <c r="F41" s="51">
        <v>60</v>
      </c>
      <c r="G41" s="51">
        <v>4500</v>
      </c>
    </row>
    <row r="42" spans="1:7" x14ac:dyDescent="0.2">
      <c r="A42" s="52"/>
      <c r="E42" s="51" t="s">
        <v>17</v>
      </c>
      <c r="F42" s="51">
        <v>24</v>
      </c>
      <c r="G42" s="51">
        <v>229.20001400000001</v>
      </c>
    </row>
    <row r="43" spans="1:7" x14ac:dyDescent="0.2">
      <c r="A43" s="52"/>
      <c r="E43" s="51" t="s">
        <v>15</v>
      </c>
      <c r="F43" s="51">
        <v>37</v>
      </c>
      <c r="G43" s="51">
        <v>358</v>
      </c>
    </row>
    <row r="44" spans="1:7" x14ac:dyDescent="0.2">
      <c r="A44" s="52"/>
      <c r="E44" s="51" t="s">
        <v>6</v>
      </c>
      <c r="F44" s="51">
        <v>306</v>
      </c>
      <c r="G44" s="51">
        <v>7512.000884</v>
      </c>
    </row>
    <row r="45" spans="1:7" x14ac:dyDescent="0.2">
      <c r="A45" s="52"/>
      <c r="E45" s="51" t="s">
        <v>1</v>
      </c>
      <c r="F45" s="51">
        <v>312</v>
      </c>
      <c r="G45" s="51">
        <v>5642.0006780000003</v>
      </c>
    </row>
    <row r="46" spans="1:7" x14ac:dyDescent="0.2">
      <c r="A46" s="52"/>
      <c r="E46" s="51" t="s">
        <v>11</v>
      </c>
      <c r="F46" s="51">
        <v>1195</v>
      </c>
      <c r="G46" s="51">
        <v>7419.6</v>
      </c>
    </row>
    <row r="47" spans="1:7" x14ac:dyDescent="0.2">
      <c r="A47" s="52"/>
      <c r="B47" s="52"/>
      <c r="E47" s="51" t="s">
        <v>16</v>
      </c>
      <c r="F47" s="51">
        <v>255</v>
      </c>
      <c r="G47" s="51">
        <v>6861.9998000000005</v>
      </c>
    </row>
    <row r="48" spans="1:7" x14ac:dyDescent="0.2">
      <c r="A48" s="52"/>
      <c r="B48" s="52"/>
      <c r="E48" s="51" t="s">
        <v>0</v>
      </c>
      <c r="F48" s="51">
        <v>241</v>
      </c>
      <c r="G48" s="51">
        <v>5831.000376</v>
      </c>
    </row>
    <row r="49" spans="1:7" x14ac:dyDescent="0.2">
      <c r="A49" s="52"/>
      <c r="B49" s="52"/>
      <c r="E49" s="51" t="s">
        <v>4</v>
      </c>
      <c r="F49" s="51">
        <v>188</v>
      </c>
      <c r="G49" s="51">
        <v>13657.000021</v>
      </c>
    </row>
    <row r="50" spans="1:7" x14ac:dyDescent="0.2">
      <c r="A50" s="52"/>
      <c r="B50" s="52"/>
      <c r="E50" s="51" t="s">
        <v>7</v>
      </c>
      <c r="F50" s="51">
        <v>142</v>
      </c>
      <c r="G50" s="51">
        <v>6203.9999740000003</v>
      </c>
    </row>
    <row r="51" spans="1:7" x14ac:dyDescent="0.2">
      <c r="A51" s="52"/>
      <c r="B51" s="52"/>
    </row>
    <row r="52" spans="1:7" x14ac:dyDescent="0.2">
      <c r="A52" s="52"/>
      <c r="B52" s="52"/>
    </row>
    <row r="53" spans="1:7" x14ac:dyDescent="0.2">
      <c r="A53" s="52"/>
      <c r="B53" s="52"/>
      <c r="E53" s="52" t="s">
        <v>8</v>
      </c>
      <c r="F53" s="52" t="s">
        <v>52</v>
      </c>
    </row>
    <row r="54" spans="1:7" x14ac:dyDescent="0.2">
      <c r="A54" s="52"/>
      <c r="B54" s="52"/>
      <c r="E54" s="52" t="s">
        <v>5</v>
      </c>
      <c r="F54" s="52">
        <v>5557.0001279999997</v>
      </c>
    </row>
    <row r="55" spans="1:7" x14ac:dyDescent="0.2">
      <c r="A55" s="52"/>
      <c r="B55" s="52"/>
      <c r="E55" s="52" t="s">
        <v>2</v>
      </c>
      <c r="F55" s="52">
        <v>885.00021800000002</v>
      </c>
    </row>
    <row r="56" spans="1:7" x14ac:dyDescent="0.2">
      <c r="A56" s="52"/>
      <c r="B56" s="52"/>
      <c r="E56" s="52" t="s">
        <v>12</v>
      </c>
      <c r="F56" s="52">
        <v>780.40001000000007</v>
      </c>
    </row>
    <row r="57" spans="1:7" x14ac:dyDescent="0.2">
      <c r="A57" s="52"/>
      <c r="B57" s="52"/>
      <c r="E57" s="52" t="s">
        <v>13</v>
      </c>
      <c r="F57" s="52">
        <v>4500</v>
      </c>
    </row>
    <row r="58" spans="1:7" x14ac:dyDescent="0.2">
      <c r="A58" s="52"/>
      <c r="B58" s="52"/>
      <c r="E58" s="52" t="s">
        <v>17</v>
      </c>
      <c r="F58" s="52">
        <v>229.20001400000001</v>
      </c>
    </row>
    <row r="59" spans="1:7" x14ac:dyDescent="0.2">
      <c r="A59" s="52"/>
      <c r="B59" s="52"/>
      <c r="E59" s="52" t="s">
        <v>15</v>
      </c>
      <c r="F59" s="52">
        <v>358</v>
      </c>
    </row>
    <row r="60" spans="1:7" x14ac:dyDescent="0.2">
      <c r="A60" s="52"/>
      <c r="B60" s="52"/>
      <c r="E60" s="52" t="s">
        <v>6</v>
      </c>
      <c r="F60" s="52">
        <v>7512.000884</v>
      </c>
    </row>
    <row r="61" spans="1:7" x14ac:dyDescent="0.2">
      <c r="A61" s="52"/>
      <c r="B61" s="52"/>
      <c r="E61" s="52" t="s">
        <v>1</v>
      </c>
      <c r="F61" s="52">
        <v>5642.0006780000003</v>
      </c>
    </row>
    <row r="62" spans="1:7" x14ac:dyDescent="0.2">
      <c r="A62" s="52"/>
      <c r="B62" s="52"/>
      <c r="E62" s="52" t="s">
        <v>11</v>
      </c>
      <c r="F62" s="52">
        <v>7419.6</v>
      </c>
    </row>
    <row r="63" spans="1:7" x14ac:dyDescent="0.2">
      <c r="A63" s="52"/>
      <c r="E63" s="52" t="s">
        <v>16</v>
      </c>
      <c r="F63" s="52">
        <v>6861.9998000000005</v>
      </c>
    </row>
    <row r="64" spans="1:7" x14ac:dyDescent="0.2">
      <c r="A64" s="52"/>
      <c r="E64" s="52" t="s">
        <v>0</v>
      </c>
      <c r="F64" s="52">
        <v>5831.000376</v>
      </c>
    </row>
    <row r="65" spans="1:6" x14ac:dyDescent="0.2">
      <c r="A65" s="52"/>
      <c r="E65" s="52" t="s">
        <v>4</v>
      </c>
      <c r="F65" s="52">
        <v>13657.000021</v>
      </c>
    </row>
    <row r="66" spans="1:6" x14ac:dyDescent="0.2">
      <c r="A66" s="52"/>
      <c r="E66" s="52" t="s">
        <v>7</v>
      </c>
      <c r="F66" s="52">
        <v>6203.9999740000003</v>
      </c>
    </row>
    <row r="67" spans="1:6" x14ac:dyDescent="0.2">
      <c r="A67" s="52"/>
    </row>
    <row r="68" spans="1:6" x14ac:dyDescent="0.2">
      <c r="A68" s="52"/>
    </row>
    <row r="69" spans="1:6" x14ac:dyDescent="0.2">
      <c r="A69" s="52"/>
    </row>
    <row r="70" spans="1:6" x14ac:dyDescent="0.2">
      <c r="A70" s="52"/>
      <c r="E70" s="51" t="s">
        <v>23</v>
      </c>
      <c r="F70" s="51">
        <v>8295.6008279999987</v>
      </c>
    </row>
    <row r="71" spans="1:6" x14ac:dyDescent="0.2">
      <c r="A71" s="52"/>
      <c r="E71" s="51" t="s">
        <v>24</v>
      </c>
      <c r="F71" s="51">
        <v>10070.60079</v>
      </c>
    </row>
    <row r="72" spans="1:6" x14ac:dyDescent="0.2">
      <c r="A72" s="52"/>
      <c r="E72" s="51" t="s">
        <v>25</v>
      </c>
      <c r="F72" s="51">
        <v>8580</v>
      </c>
    </row>
    <row r="73" spans="1:6" x14ac:dyDescent="0.2">
      <c r="A73" s="52"/>
      <c r="E73" s="51" t="s">
        <v>26</v>
      </c>
      <c r="F73" s="51">
        <v>8569</v>
      </c>
    </row>
    <row r="74" spans="1:6" x14ac:dyDescent="0.2">
      <c r="A74" s="52"/>
      <c r="E74" s="51" t="s">
        <v>20</v>
      </c>
      <c r="F74" s="51">
        <v>16026.000065</v>
      </c>
    </row>
    <row r="75" spans="1:6" x14ac:dyDescent="0.2">
      <c r="A75" s="52"/>
      <c r="E75" s="51" t="s">
        <v>21</v>
      </c>
      <c r="F75" s="51">
        <v>9995.0002800000002</v>
      </c>
    </row>
    <row r="76" spans="1:6" x14ac:dyDescent="0.2">
      <c r="A76" s="52"/>
      <c r="E76" s="51" t="s">
        <v>22</v>
      </c>
      <c r="F76" s="51">
        <v>4541.0001700000003</v>
      </c>
    </row>
    <row r="77" spans="1:6" x14ac:dyDescent="0.2">
      <c r="A77" s="52"/>
    </row>
    <row r="78" spans="1:6" x14ac:dyDescent="0.2">
      <c r="A78" s="52"/>
    </row>
    <row r="79" spans="1:6" x14ac:dyDescent="0.2">
      <c r="A79" s="52"/>
    </row>
    <row r="80" spans="1:6" x14ac:dyDescent="0.2">
      <c r="A80" s="52"/>
    </row>
    <row r="81" spans="1:6" x14ac:dyDescent="0.2">
      <c r="A81" s="52"/>
    </row>
    <row r="82" spans="1:6" x14ac:dyDescent="0.2">
      <c r="A82" s="52"/>
      <c r="E82" s="51">
        <v>44470</v>
      </c>
      <c r="F82" s="51">
        <v>3855.0000650000006</v>
      </c>
    </row>
    <row r="83" spans="1:6" x14ac:dyDescent="0.2">
      <c r="A83" s="52"/>
      <c r="E83" s="51">
        <v>44471</v>
      </c>
      <c r="F83" s="51">
        <v>2677.0002800000002</v>
      </c>
    </row>
    <row r="84" spans="1:6" x14ac:dyDescent="0.2">
      <c r="A84" s="52"/>
      <c r="E84" s="51">
        <v>44472</v>
      </c>
      <c r="F84" s="51">
        <v>1719.0001700000005</v>
      </c>
    </row>
    <row r="85" spans="1:6" x14ac:dyDescent="0.2">
      <c r="A85" s="52"/>
      <c r="E85" s="51">
        <v>44473</v>
      </c>
      <c r="F85" s="51">
        <v>3680.200828</v>
      </c>
    </row>
    <row r="86" spans="1:6" x14ac:dyDescent="0.2">
      <c r="A86" s="52"/>
      <c r="E86" s="51">
        <v>44474</v>
      </c>
      <c r="F86" s="51">
        <v>4675.0007900000001</v>
      </c>
    </row>
    <row r="87" spans="1:6" x14ac:dyDescent="0.2">
      <c r="A87" s="52"/>
      <c r="E87" s="51">
        <v>44475</v>
      </c>
      <c r="F87" s="51">
        <v>2686</v>
      </c>
    </row>
    <row r="88" spans="1:6" x14ac:dyDescent="0.2">
      <c r="A88" s="52"/>
      <c r="E88" s="51">
        <v>44476</v>
      </c>
      <c r="F88" s="51">
        <v>3080</v>
      </c>
    </row>
    <row r="89" spans="1:6" x14ac:dyDescent="0.2">
      <c r="A89" s="52"/>
      <c r="E89" s="51">
        <v>44477</v>
      </c>
      <c r="F89" s="51">
        <v>3989</v>
      </c>
    </row>
    <row r="90" spans="1:6" x14ac:dyDescent="0.2">
      <c r="A90" s="52"/>
      <c r="E90" s="51">
        <v>44478</v>
      </c>
      <c r="F90" s="51">
        <v>1672</v>
      </c>
    </row>
    <row r="91" spans="1:6" x14ac:dyDescent="0.2">
      <c r="A91" s="52"/>
      <c r="E91" s="51">
        <v>44479</v>
      </c>
      <c r="F91" s="51">
        <v>1351</v>
      </c>
    </row>
    <row r="92" spans="1:6" x14ac:dyDescent="0.2">
      <c r="A92" s="52"/>
      <c r="E92" s="51">
        <v>44480</v>
      </c>
      <c r="F92" s="51">
        <v>3685.4</v>
      </c>
    </row>
    <row r="93" spans="1:6" x14ac:dyDescent="0.2">
      <c r="A93" s="52"/>
      <c r="E93" s="51">
        <v>44481</v>
      </c>
      <c r="F93" s="51">
        <v>1925</v>
      </c>
    </row>
    <row r="94" spans="1:6" x14ac:dyDescent="0.2">
      <c r="A94" s="52"/>
      <c r="E94" s="51">
        <v>44482</v>
      </c>
      <c r="F94" s="51">
        <v>1991</v>
      </c>
    </row>
    <row r="95" spans="1:6" x14ac:dyDescent="0.2">
      <c r="A95" s="52"/>
      <c r="E95" s="51">
        <v>44483</v>
      </c>
      <c r="F95" s="51">
        <v>1354</v>
      </c>
    </row>
    <row r="96" spans="1:6" x14ac:dyDescent="0.2">
      <c r="A96" s="52"/>
      <c r="E96" s="51">
        <v>44484</v>
      </c>
      <c r="F96" s="51">
        <v>3392</v>
      </c>
    </row>
    <row r="97" spans="1:6" x14ac:dyDescent="0.2">
      <c r="A97" s="52"/>
      <c r="E97" s="51">
        <v>44485</v>
      </c>
      <c r="F97" s="51">
        <v>1308</v>
      </c>
    </row>
    <row r="98" spans="1:6" x14ac:dyDescent="0.2">
      <c r="A98" s="52"/>
      <c r="E98" s="51">
        <v>44486</v>
      </c>
      <c r="F98" s="51">
        <v>1471</v>
      </c>
    </row>
    <row r="99" spans="1:6" x14ac:dyDescent="0.2">
      <c r="A99" s="52"/>
      <c r="E99" s="51">
        <v>44487</v>
      </c>
      <c r="F99" s="51">
        <v>930</v>
      </c>
    </row>
    <row r="100" spans="1:6" x14ac:dyDescent="0.2">
      <c r="A100" s="52"/>
      <c r="E100" s="51">
        <v>44488</v>
      </c>
      <c r="F100" s="51">
        <v>938</v>
      </c>
    </row>
    <row r="101" spans="1:6" x14ac:dyDescent="0.2">
      <c r="A101" s="52"/>
      <c r="E101" s="51">
        <v>44489</v>
      </c>
      <c r="F101" s="51">
        <v>1237</v>
      </c>
    </row>
    <row r="102" spans="1:6" x14ac:dyDescent="0.2">
      <c r="A102" s="52"/>
      <c r="E102" s="51">
        <v>44490</v>
      </c>
      <c r="F102" s="51">
        <v>2207</v>
      </c>
    </row>
    <row r="103" spans="1:6" x14ac:dyDescent="0.2">
      <c r="A103" s="52"/>
      <c r="E103" s="51">
        <v>44491</v>
      </c>
      <c r="F103" s="51">
        <v>2220</v>
      </c>
    </row>
    <row r="104" spans="1:6" x14ac:dyDescent="0.2">
      <c r="A104" s="52"/>
      <c r="E104" s="51">
        <v>44492</v>
      </c>
      <c r="F104" s="51">
        <v>2469</v>
      </c>
    </row>
    <row r="105" spans="1:6" x14ac:dyDescent="0.2">
      <c r="A105" s="52"/>
      <c r="E105" s="51">
        <v>44493</v>
      </c>
      <c r="F105" s="51">
        <v>0</v>
      </c>
    </row>
    <row r="106" spans="1:6" x14ac:dyDescent="0.2">
      <c r="A106" s="52"/>
      <c r="E106" s="51">
        <v>44494</v>
      </c>
      <c r="F106" s="51">
        <v>0</v>
      </c>
    </row>
    <row r="107" spans="1:6" x14ac:dyDescent="0.2">
      <c r="A107" s="52"/>
      <c r="E107" s="51">
        <v>44495</v>
      </c>
      <c r="F107" s="51">
        <v>2532.6</v>
      </c>
    </row>
    <row r="108" spans="1:6" x14ac:dyDescent="0.2">
      <c r="A108" s="52"/>
      <c r="E108" s="51">
        <v>44496</v>
      </c>
      <c r="F108" s="51">
        <v>2666</v>
      </c>
    </row>
    <row r="109" spans="1:6" x14ac:dyDescent="0.2">
      <c r="A109" s="52"/>
      <c r="E109" s="51">
        <v>44497</v>
      </c>
      <c r="F109" s="51">
        <v>1928</v>
      </c>
    </row>
    <row r="110" spans="1:6" x14ac:dyDescent="0.2">
      <c r="A110" s="52"/>
      <c r="E110" s="51">
        <v>44498</v>
      </c>
      <c r="F110" s="51">
        <v>2570</v>
      </c>
    </row>
    <row r="111" spans="1:6" x14ac:dyDescent="0.2">
      <c r="A111" s="52"/>
      <c r="E111" s="51">
        <v>44499</v>
      </c>
      <c r="F111" s="51">
        <v>1869</v>
      </c>
    </row>
    <row r="112" spans="1:6" x14ac:dyDescent="0.2">
      <c r="A112" s="52"/>
      <c r="E112" s="51">
        <v>44500</v>
      </c>
      <c r="F112" s="51">
        <v>0</v>
      </c>
    </row>
    <row r="113" spans="1:22" x14ac:dyDescent="0.2">
      <c r="A113" s="52"/>
    </row>
    <row r="114" spans="1:22" x14ac:dyDescent="0.2">
      <c r="A114" s="52"/>
    </row>
    <row r="115" spans="1:22" s="52" customFormat="1" x14ac:dyDescent="0.2">
      <c r="A115" s="52" t="s">
        <v>8</v>
      </c>
      <c r="B115" s="52">
        <v>44471</v>
      </c>
      <c r="C115" s="52">
        <v>44472</v>
      </c>
      <c r="D115" s="52">
        <v>44473</v>
      </c>
      <c r="E115" s="52">
        <v>44474</v>
      </c>
      <c r="F115" s="52">
        <v>44475</v>
      </c>
      <c r="G115" s="52">
        <v>44476</v>
      </c>
      <c r="H115" s="52">
        <v>44477</v>
      </c>
      <c r="I115" s="52">
        <v>44478</v>
      </c>
      <c r="J115" s="52">
        <v>44479</v>
      </c>
      <c r="K115" s="52">
        <v>44481</v>
      </c>
      <c r="L115" s="52">
        <v>44482</v>
      </c>
      <c r="M115" s="52">
        <v>44483</v>
      </c>
      <c r="N115" s="52">
        <v>44485</v>
      </c>
      <c r="O115" s="52">
        <v>44487</v>
      </c>
      <c r="P115" s="52">
        <v>44488</v>
      </c>
      <c r="Q115" s="52">
        <v>44489</v>
      </c>
      <c r="R115" s="52">
        <v>44492</v>
      </c>
      <c r="S115" s="52">
        <v>44495</v>
      </c>
      <c r="T115" s="52">
        <v>44497</v>
      </c>
      <c r="U115" s="52">
        <v>44498</v>
      </c>
      <c r="V115" s="52">
        <v>44499</v>
      </c>
    </row>
    <row r="116" spans="1:22" s="52" customFormat="1" x14ac:dyDescent="0.2">
      <c r="A116" s="52" t="s">
        <v>6</v>
      </c>
      <c r="B116" s="52">
        <v>9</v>
      </c>
      <c r="C116" s="52">
        <v>1</v>
      </c>
      <c r="D116" s="52">
        <v>18</v>
      </c>
      <c r="E116" s="52">
        <v>38</v>
      </c>
      <c r="F116" s="52">
        <v>9</v>
      </c>
      <c r="G116" s="52">
        <v>4</v>
      </c>
      <c r="H116" s="52">
        <v>9</v>
      </c>
      <c r="I116" s="52">
        <v>10</v>
      </c>
      <c r="J116" s="52">
        <v>6</v>
      </c>
      <c r="K116" s="52">
        <v>2</v>
      </c>
      <c r="L116" s="52">
        <v>13</v>
      </c>
      <c r="M116" s="52">
        <v>13</v>
      </c>
      <c r="N116" s="52">
        <v>24</v>
      </c>
      <c r="O116" s="52">
        <v>2</v>
      </c>
      <c r="P116" s="52">
        <v>12</v>
      </c>
      <c r="Q116" s="52">
        <v>4</v>
      </c>
      <c r="R116" s="52">
        <v>9</v>
      </c>
      <c r="S116" s="52">
        <v>13</v>
      </c>
      <c r="T116" s="52">
        <v>18</v>
      </c>
      <c r="U116" s="52">
        <v>10</v>
      </c>
      <c r="V116" s="52">
        <v>16</v>
      </c>
    </row>
    <row r="117" spans="1:22" s="52" customFormat="1" x14ac:dyDescent="0.2">
      <c r="A117" s="52" t="s">
        <v>0</v>
      </c>
      <c r="B117" s="52">
        <v>5</v>
      </c>
      <c r="D117" s="52">
        <v>4</v>
      </c>
      <c r="E117" s="52">
        <v>8</v>
      </c>
      <c r="F117" s="52">
        <v>28</v>
      </c>
      <c r="G117" s="52">
        <v>20</v>
      </c>
      <c r="I117" s="52">
        <v>13</v>
      </c>
      <c r="J117" s="52">
        <v>2</v>
      </c>
      <c r="K117" s="52">
        <v>12</v>
      </c>
      <c r="L117" s="52">
        <v>10</v>
      </c>
      <c r="M117" s="52">
        <v>2</v>
      </c>
      <c r="Q117" s="52">
        <v>10</v>
      </c>
      <c r="R117" s="52">
        <v>24</v>
      </c>
      <c r="T117" s="52">
        <v>7</v>
      </c>
      <c r="U117" s="52">
        <v>13</v>
      </c>
      <c r="V117" s="52">
        <v>34</v>
      </c>
    </row>
    <row r="118" spans="1:22" s="52" customFormat="1" x14ac:dyDescent="0.2"/>
    <row r="119" spans="1:22" x14ac:dyDescent="0.2">
      <c r="A119" s="52"/>
    </row>
    <row r="120" spans="1:22" x14ac:dyDescent="0.2">
      <c r="A120" s="52"/>
    </row>
    <row r="121" spans="1:22" x14ac:dyDescent="0.2">
      <c r="A121" s="52"/>
    </row>
    <row r="122" spans="1:22" x14ac:dyDescent="0.2">
      <c r="A122" s="52"/>
    </row>
    <row r="123" spans="1:22" x14ac:dyDescent="0.2">
      <c r="A123" s="52"/>
    </row>
    <row r="124" spans="1:22" x14ac:dyDescent="0.2">
      <c r="A124" s="52"/>
    </row>
    <row r="125" spans="1:22" x14ac:dyDescent="0.2">
      <c r="A125" s="52"/>
    </row>
    <row r="126" spans="1:22" x14ac:dyDescent="0.2">
      <c r="A126" s="52"/>
    </row>
    <row r="127" spans="1:22" x14ac:dyDescent="0.2">
      <c r="A127" s="52"/>
    </row>
    <row r="128" spans="1:22" x14ac:dyDescent="0.2">
      <c r="A128" s="52"/>
    </row>
    <row r="129" spans="1:29" x14ac:dyDescent="0.2">
      <c r="A129" s="52"/>
    </row>
    <row r="130" spans="1:29" x14ac:dyDescent="0.2">
      <c r="A130" s="52"/>
    </row>
    <row r="131" spans="1:29" x14ac:dyDescent="0.2">
      <c r="A131" s="52"/>
    </row>
    <row r="132" spans="1:29" x14ac:dyDescent="0.2">
      <c r="A132" s="52"/>
    </row>
    <row r="133" spans="1:29" x14ac:dyDescent="0.2">
      <c r="A133" s="52"/>
    </row>
    <row r="134" spans="1:29" x14ac:dyDescent="0.2">
      <c r="A134" s="52"/>
    </row>
    <row r="135" spans="1:29" x14ac:dyDescent="0.2">
      <c r="A135" s="52"/>
    </row>
    <row r="136" spans="1:29" x14ac:dyDescent="0.2">
      <c r="A136" s="51" t="s">
        <v>2</v>
      </c>
      <c r="B136" s="51">
        <v>0</v>
      </c>
      <c r="C136" s="51">
        <v>4</v>
      </c>
      <c r="D136" s="51">
        <v>2</v>
      </c>
      <c r="E136" s="51">
        <v>2</v>
      </c>
      <c r="F136" s="51">
        <v>0</v>
      </c>
      <c r="G136" s="51">
        <v>0</v>
      </c>
      <c r="H136" s="51">
        <v>0</v>
      </c>
      <c r="I136" s="51">
        <v>3</v>
      </c>
      <c r="J136" s="51">
        <v>0</v>
      </c>
      <c r="K136" s="51">
        <v>3</v>
      </c>
      <c r="L136" s="51">
        <v>0</v>
      </c>
      <c r="M136" s="51">
        <v>6</v>
      </c>
      <c r="N136" s="51">
        <v>2</v>
      </c>
      <c r="O136" s="51">
        <v>5</v>
      </c>
      <c r="P136" s="51">
        <v>0</v>
      </c>
      <c r="Q136" s="51">
        <v>0</v>
      </c>
      <c r="R136" s="51">
        <v>0</v>
      </c>
      <c r="S136" s="51">
        <v>0</v>
      </c>
      <c r="T136" s="51">
        <v>3</v>
      </c>
      <c r="U136" s="51">
        <v>8</v>
      </c>
      <c r="V136" s="51">
        <v>0</v>
      </c>
      <c r="W136" s="51">
        <v>7</v>
      </c>
      <c r="X136" s="51">
        <v>2</v>
      </c>
      <c r="Y136" s="51">
        <v>0</v>
      </c>
      <c r="Z136" s="51">
        <v>5</v>
      </c>
      <c r="AA136" s="51">
        <v>1</v>
      </c>
      <c r="AB136" s="51">
        <v>0</v>
      </c>
      <c r="AC136" s="51">
        <v>6</v>
      </c>
    </row>
    <row r="137" spans="1:29" x14ac:dyDescent="0.2">
      <c r="A137" s="51" t="s">
        <v>6</v>
      </c>
      <c r="B137" s="51">
        <v>6</v>
      </c>
      <c r="C137" s="51">
        <v>9</v>
      </c>
      <c r="D137" s="51">
        <v>1</v>
      </c>
      <c r="E137" s="51">
        <v>18</v>
      </c>
      <c r="F137" s="51">
        <v>38</v>
      </c>
      <c r="G137" s="51">
        <v>9</v>
      </c>
      <c r="H137" s="51">
        <v>4</v>
      </c>
      <c r="I137" s="51">
        <v>9</v>
      </c>
      <c r="J137" s="51">
        <v>10</v>
      </c>
      <c r="K137" s="51">
        <v>6</v>
      </c>
      <c r="L137" s="51">
        <v>5</v>
      </c>
      <c r="M137" s="51">
        <v>2</v>
      </c>
      <c r="N137" s="51">
        <v>13</v>
      </c>
      <c r="O137" s="51">
        <v>13</v>
      </c>
      <c r="P137" s="51">
        <v>15</v>
      </c>
      <c r="Q137" s="51">
        <v>24</v>
      </c>
      <c r="R137" s="51">
        <v>0</v>
      </c>
      <c r="S137" s="51">
        <v>2</v>
      </c>
      <c r="T137" s="51">
        <v>12</v>
      </c>
      <c r="U137" s="51">
        <v>4</v>
      </c>
      <c r="V137" s="51">
        <v>27</v>
      </c>
      <c r="W137" s="51">
        <v>11</v>
      </c>
      <c r="X137" s="51">
        <v>9</v>
      </c>
      <c r="Y137" s="51">
        <v>13</v>
      </c>
      <c r="Z137" s="51">
        <v>2</v>
      </c>
      <c r="AA137" s="51">
        <v>18</v>
      </c>
      <c r="AB137" s="51">
        <v>10</v>
      </c>
      <c r="AC137" s="51">
        <v>16</v>
      </c>
    </row>
    <row r="138" spans="1:29" x14ac:dyDescent="0.2">
      <c r="A138" s="51" t="s">
        <v>55</v>
      </c>
      <c r="B138" s="51">
        <v>6</v>
      </c>
      <c r="C138" s="51">
        <v>12</v>
      </c>
      <c r="D138" s="51">
        <v>0</v>
      </c>
      <c r="E138" s="51">
        <v>45</v>
      </c>
      <c r="F138" s="51">
        <v>10</v>
      </c>
      <c r="G138" s="51">
        <v>2</v>
      </c>
      <c r="H138" s="51">
        <v>16</v>
      </c>
      <c r="I138" s="51">
        <v>29</v>
      </c>
      <c r="J138" s="51">
        <v>2</v>
      </c>
      <c r="K138" s="51">
        <v>0</v>
      </c>
      <c r="L138" s="51">
        <v>16</v>
      </c>
      <c r="M138" s="51">
        <v>2</v>
      </c>
      <c r="N138" s="51">
        <v>14</v>
      </c>
      <c r="O138" s="51">
        <v>7</v>
      </c>
      <c r="P138" s="51">
        <v>11</v>
      </c>
      <c r="Q138" s="51">
        <v>5</v>
      </c>
      <c r="R138" s="51">
        <v>13</v>
      </c>
      <c r="S138" s="51">
        <v>12</v>
      </c>
      <c r="T138" s="51">
        <v>5</v>
      </c>
      <c r="U138" s="51">
        <v>8</v>
      </c>
      <c r="V138" s="51">
        <v>11</v>
      </c>
      <c r="W138" s="51">
        <v>19</v>
      </c>
      <c r="X138" s="51">
        <v>21</v>
      </c>
      <c r="Y138" s="51">
        <v>8</v>
      </c>
      <c r="Z138" s="51">
        <v>9</v>
      </c>
      <c r="AA138" s="51">
        <v>7</v>
      </c>
      <c r="AB138" s="51">
        <v>15</v>
      </c>
      <c r="AC138" s="51">
        <v>7</v>
      </c>
    </row>
    <row r="139" spans="1:29" x14ac:dyDescent="0.2">
      <c r="A139" s="51" t="s">
        <v>0</v>
      </c>
      <c r="B139" s="51">
        <v>1</v>
      </c>
      <c r="C139" s="51">
        <v>5</v>
      </c>
      <c r="D139" s="51">
        <v>0</v>
      </c>
      <c r="E139" s="51">
        <v>4</v>
      </c>
      <c r="F139" s="51">
        <v>8</v>
      </c>
      <c r="G139" s="51">
        <v>28</v>
      </c>
      <c r="H139" s="51">
        <v>20</v>
      </c>
      <c r="I139" s="51">
        <v>0</v>
      </c>
      <c r="J139" s="51">
        <v>13</v>
      </c>
      <c r="K139" s="51">
        <v>2</v>
      </c>
      <c r="L139" s="51">
        <v>15</v>
      </c>
      <c r="M139" s="51">
        <v>12</v>
      </c>
      <c r="N139" s="51">
        <v>10</v>
      </c>
      <c r="O139" s="51">
        <v>2</v>
      </c>
      <c r="P139" s="51">
        <v>9</v>
      </c>
      <c r="Q139" s="51">
        <v>0</v>
      </c>
      <c r="R139" s="51">
        <v>1</v>
      </c>
      <c r="S139" s="51">
        <v>0</v>
      </c>
      <c r="T139" s="51">
        <v>0</v>
      </c>
      <c r="U139" s="51">
        <v>10</v>
      </c>
      <c r="V139" s="51">
        <v>12</v>
      </c>
      <c r="W139" s="51">
        <v>3</v>
      </c>
      <c r="X139" s="51">
        <v>24</v>
      </c>
      <c r="Y139" s="51">
        <v>0</v>
      </c>
      <c r="Z139" s="51">
        <v>8</v>
      </c>
      <c r="AA139" s="51">
        <v>7</v>
      </c>
      <c r="AB139" s="51">
        <v>13</v>
      </c>
      <c r="AC139" s="51">
        <v>34</v>
      </c>
    </row>
    <row r="140" spans="1:29" x14ac:dyDescent="0.2">
      <c r="A140" s="52"/>
    </row>
    <row r="141" spans="1:29" x14ac:dyDescent="0.2">
      <c r="A141" s="52"/>
    </row>
    <row r="142" spans="1:29" x14ac:dyDescent="0.2">
      <c r="A142" s="52"/>
    </row>
    <row r="143" spans="1:29" x14ac:dyDescent="0.2">
      <c r="A143" s="52"/>
    </row>
    <row r="144" spans="1:29" x14ac:dyDescent="0.2">
      <c r="A144" s="52"/>
    </row>
    <row r="145" spans="1:1" x14ac:dyDescent="0.2">
      <c r="A145" s="52"/>
    </row>
    <row r="146" spans="1:1" x14ac:dyDescent="0.2">
      <c r="A146" s="52"/>
    </row>
    <row r="147" spans="1:1" x14ac:dyDescent="0.2">
      <c r="A147" s="52"/>
    </row>
    <row r="148" spans="1:1" x14ac:dyDescent="0.2">
      <c r="A148" s="52"/>
    </row>
    <row r="149" spans="1:1" x14ac:dyDescent="0.2">
      <c r="A149" s="52"/>
    </row>
    <row r="150" spans="1:1" x14ac:dyDescent="0.2">
      <c r="A150" s="52"/>
    </row>
    <row r="151" spans="1:1" x14ac:dyDescent="0.2">
      <c r="A151" s="52"/>
    </row>
    <row r="152" spans="1:1" x14ac:dyDescent="0.2">
      <c r="A152" s="52"/>
    </row>
    <row r="153" spans="1:1" x14ac:dyDescent="0.2">
      <c r="A153" s="52"/>
    </row>
    <row r="154" spans="1:1" x14ac:dyDescent="0.2">
      <c r="A154" s="52"/>
    </row>
    <row r="155" spans="1:1" x14ac:dyDescent="0.2">
      <c r="A155" s="52"/>
    </row>
    <row r="156" spans="1:1" x14ac:dyDescent="0.2">
      <c r="A156" s="52"/>
    </row>
    <row r="157" spans="1:1" x14ac:dyDescent="0.2">
      <c r="A157" s="52"/>
    </row>
    <row r="158" spans="1:1" x14ac:dyDescent="0.2">
      <c r="A158" s="52"/>
    </row>
    <row r="159" spans="1:1" x14ac:dyDescent="0.2">
      <c r="A159" s="52"/>
    </row>
    <row r="160" spans="1:1" x14ac:dyDescent="0.2">
      <c r="A160" s="52"/>
    </row>
    <row r="161" spans="1:1" x14ac:dyDescent="0.2">
      <c r="A161" s="52"/>
    </row>
    <row r="162" spans="1:1" x14ac:dyDescent="0.2">
      <c r="A162" s="52"/>
    </row>
    <row r="163" spans="1:1" x14ac:dyDescent="0.2">
      <c r="A163" s="52"/>
    </row>
    <row r="164" spans="1:1" x14ac:dyDescent="0.2">
      <c r="A164" s="52"/>
    </row>
    <row r="165" spans="1:1" x14ac:dyDescent="0.2">
      <c r="A165" s="52"/>
    </row>
    <row r="166" spans="1:1" x14ac:dyDescent="0.2">
      <c r="A166" s="52"/>
    </row>
    <row r="167" spans="1:1" x14ac:dyDescent="0.2">
      <c r="A167" s="52"/>
    </row>
    <row r="168" spans="1:1" x14ac:dyDescent="0.2">
      <c r="A168" s="52"/>
    </row>
    <row r="169" spans="1:1" x14ac:dyDescent="0.2">
      <c r="A169" s="52"/>
    </row>
    <row r="170" spans="1:1" x14ac:dyDescent="0.2">
      <c r="A170" s="52"/>
    </row>
    <row r="171" spans="1:1" x14ac:dyDescent="0.2">
      <c r="A171" s="52"/>
    </row>
    <row r="172" spans="1:1" x14ac:dyDescent="0.2">
      <c r="A172" s="52"/>
    </row>
    <row r="173" spans="1:1" x14ac:dyDescent="0.2">
      <c r="A173" s="52"/>
    </row>
    <row r="174" spans="1:1" x14ac:dyDescent="0.2">
      <c r="A174" s="52"/>
    </row>
    <row r="175" spans="1:1" x14ac:dyDescent="0.2">
      <c r="A175" s="52"/>
    </row>
    <row r="176" spans="1:1" x14ac:dyDescent="0.2">
      <c r="A176" s="52"/>
    </row>
    <row r="177" spans="1:1" x14ac:dyDescent="0.2">
      <c r="A177" s="52"/>
    </row>
    <row r="178" spans="1:1" x14ac:dyDescent="0.2">
      <c r="A178" s="52"/>
    </row>
    <row r="179" spans="1:1" x14ac:dyDescent="0.2">
      <c r="A179" s="52"/>
    </row>
    <row r="180" spans="1:1" x14ac:dyDescent="0.2">
      <c r="A180" s="52"/>
    </row>
    <row r="181" spans="1:1" x14ac:dyDescent="0.2">
      <c r="A181" s="52"/>
    </row>
    <row r="182" spans="1:1" x14ac:dyDescent="0.2">
      <c r="A182" s="52"/>
    </row>
    <row r="183" spans="1:1" x14ac:dyDescent="0.2">
      <c r="A183" s="52"/>
    </row>
    <row r="184" spans="1:1" x14ac:dyDescent="0.2">
      <c r="A184" s="52"/>
    </row>
    <row r="185" spans="1:1" x14ac:dyDescent="0.2">
      <c r="A185" s="52"/>
    </row>
    <row r="186" spans="1:1" x14ac:dyDescent="0.2">
      <c r="A186" s="52"/>
    </row>
    <row r="187" spans="1:1" x14ac:dyDescent="0.2">
      <c r="A187" s="52"/>
    </row>
    <row r="188" spans="1:1" x14ac:dyDescent="0.2">
      <c r="A188" s="52"/>
    </row>
    <row r="189" spans="1:1" x14ac:dyDescent="0.2">
      <c r="A189" s="52"/>
    </row>
    <row r="190" spans="1:1" x14ac:dyDescent="0.2">
      <c r="A190" s="52"/>
    </row>
    <row r="191" spans="1:1" x14ac:dyDescent="0.2">
      <c r="A191" s="52"/>
    </row>
    <row r="192" spans="1:1" x14ac:dyDescent="0.2">
      <c r="A192" s="52"/>
    </row>
    <row r="193" spans="1:1" x14ac:dyDescent="0.2">
      <c r="A193" s="52"/>
    </row>
    <row r="194" spans="1:1" x14ac:dyDescent="0.2">
      <c r="A194" s="52"/>
    </row>
    <row r="195" spans="1:1" x14ac:dyDescent="0.2">
      <c r="A195" s="52"/>
    </row>
    <row r="196" spans="1:1" x14ac:dyDescent="0.2">
      <c r="A196" s="52"/>
    </row>
    <row r="197" spans="1:1" x14ac:dyDescent="0.2">
      <c r="A197" s="52"/>
    </row>
    <row r="198" spans="1:1" x14ac:dyDescent="0.2">
      <c r="A198" s="52"/>
    </row>
    <row r="199" spans="1:1" x14ac:dyDescent="0.2">
      <c r="A199" s="52"/>
    </row>
    <row r="200" spans="1:1" x14ac:dyDescent="0.2">
      <c r="A200" s="52"/>
    </row>
    <row r="201" spans="1:1" x14ac:dyDescent="0.2">
      <c r="A201" s="52"/>
    </row>
    <row r="202" spans="1:1" x14ac:dyDescent="0.2">
      <c r="A202" s="52"/>
    </row>
    <row r="203" spans="1:1" x14ac:dyDescent="0.2">
      <c r="A203" s="52"/>
    </row>
    <row r="204" spans="1:1" x14ac:dyDescent="0.2">
      <c r="A204" s="52"/>
    </row>
    <row r="205" spans="1:1" x14ac:dyDescent="0.2">
      <c r="A205" s="52"/>
    </row>
    <row r="206" spans="1:1" x14ac:dyDescent="0.2">
      <c r="A206" s="52"/>
    </row>
    <row r="207" spans="1:1" x14ac:dyDescent="0.2">
      <c r="A207" s="52"/>
    </row>
    <row r="208" spans="1:1" x14ac:dyDescent="0.2">
      <c r="A208" s="52"/>
    </row>
    <row r="209" spans="1:1" x14ac:dyDescent="0.2">
      <c r="A209" s="52"/>
    </row>
    <row r="210" spans="1:1" x14ac:dyDescent="0.2">
      <c r="A210" s="52"/>
    </row>
    <row r="211" spans="1:1" x14ac:dyDescent="0.2">
      <c r="A211" s="52"/>
    </row>
    <row r="212" spans="1:1" x14ac:dyDescent="0.2">
      <c r="A212" s="52"/>
    </row>
    <row r="213" spans="1:1" x14ac:dyDescent="0.2">
      <c r="A213" s="52"/>
    </row>
    <row r="214" spans="1:1" x14ac:dyDescent="0.2">
      <c r="A214" s="52"/>
    </row>
    <row r="215" spans="1:1" x14ac:dyDescent="0.2">
      <c r="A215" s="52"/>
    </row>
    <row r="216" spans="1:1" x14ac:dyDescent="0.2">
      <c r="A216" s="52"/>
    </row>
    <row r="217" spans="1:1" x14ac:dyDescent="0.2">
      <c r="A217" s="52"/>
    </row>
    <row r="218" spans="1:1" x14ac:dyDescent="0.2">
      <c r="A218" s="52"/>
    </row>
    <row r="219" spans="1:1" x14ac:dyDescent="0.2">
      <c r="A219" s="52"/>
    </row>
    <row r="220" spans="1:1" x14ac:dyDescent="0.2">
      <c r="A220" s="52"/>
    </row>
    <row r="221" spans="1:1" x14ac:dyDescent="0.2">
      <c r="A221" s="52"/>
    </row>
    <row r="222" spans="1:1" x14ac:dyDescent="0.2">
      <c r="A222" s="52"/>
    </row>
    <row r="223" spans="1:1" x14ac:dyDescent="0.2">
      <c r="A223" s="52"/>
    </row>
    <row r="224" spans="1:1" x14ac:dyDescent="0.2">
      <c r="A224" s="52"/>
    </row>
    <row r="225" spans="1:1" x14ac:dyDescent="0.2">
      <c r="A225" s="52"/>
    </row>
    <row r="226" spans="1:1" x14ac:dyDescent="0.2">
      <c r="A226" s="52"/>
    </row>
    <row r="227" spans="1:1" x14ac:dyDescent="0.2">
      <c r="A227" s="52"/>
    </row>
    <row r="228" spans="1:1" x14ac:dyDescent="0.2">
      <c r="A228" s="52"/>
    </row>
    <row r="229" spans="1:1" x14ac:dyDescent="0.2">
      <c r="A229" s="52"/>
    </row>
    <row r="230" spans="1:1" x14ac:dyDescent="0.2">
      <c r="A230" s="52"/>
    </row>
    <row r="231" spans="1:1" x14ac:dyDescent="0.2">
      <c r="A231" s="52"/>
    </row>
    <row r="232" spans="1:1" x14ac:dyDescent="0.2">
      <c r="A232" s="52"/>
    </row>
    <row r="233" spans="1:1" x14ac:dyDescent="0.2">
      <c r="A233" s="52"/>
    </row>
    <row r="234" spans="1:1" x14ac:dyDescent="0.2">
      <c r="A234" s="52"/>
    </row>
    <row r="235" spans="1:1" x14ac:dyDescent="0.2">
      <c r="A235" s="52"/>
    </row>
    <row r="236" spans="1:1" x14ac:dyDescent="0.2">
      <c r="A236" s="52"/>
    </row>
    <row r="237" spans="1:1" x14ac:dyDescent="0.2">
      <c r="A237" s="52"/>
    </row>
    <row r="238" spans="1:1" x14ac:dyDescent="0.2">
      <c r="A238" s="52"/>
    </row>
    <row r="239" spans="1:1" x14ac:dyDescent="0.2">
      <c r="A239" s="52"/>
    </row>
    <row r="240" spans="1:1" x14ac:dyDescent="0.2">
      <c r="A240" s="52"/>
    </row>
    <row r="241" spans="1:1" x14ac:dyDescent="0.2">
      <c r="A241" s="52"/>
    </row>
    <row r="242" spans="1:1" x14ac:dyDescent="0.2">
      <c r="A242" s="52"/>
    </row>
    <row r="243" spans="1:1" x14ac:dyDescent="0.2">
      <c r="A243" s="52"/>
    </row>
    <row r="244" spans="1:1" x14ac:dyDescent="0.2">
      <c r="A244" s="52"/>
    </row>
    <row r="245" spans="1:1" x14ac:dyDescent="0.2">
      <c r="A245" s="52"/>
    </row>
    <row r="246" spans="1:1" x14ac:dyDescent="0.2">
      <c r="A246" s="52"/>
    </row>
    <row r="247" spans="1:1" x14ac:dyDescent="0.2">
      <c r="A247" s="52"/>
    </row>
    <row r="248" spans="1:1" x14ac:dyDescent="0.2">
      <c r="A248" s="52"/>
    </row>
    <row r="249" spans="1:1" x14ac:dyDescent="0.2">
      <c r="A249" s="52"/>
    </row>
    <row r="250" spans="1:1" x14ac:dyDescent="0.2">
      <c r="A250" s="52"/>
    </row>
    <row r="251" spans="1:1" x14ac:dyDescent="0.2">
      <c r="A251" s="52"/>
    </row>
    <row r="252" spans="1:1" x14ac:dyDescent="0.2">
      <c r="A252" s="52"/>
    </row>
    <row r="253" spans="1:1" x14ac:dyDescent="0.2">
      <c r="A253" s="52"/>
    </row>
    <row r="254" spans="1:1" x14ac:dyDescent="0.2">
      <c r="A254" s="52"/>
    </row>
    <row r="255" spans="1:1" x14ac:dyDescent="0.2">
      <c r="A255" s="52"/>
    </row>
    <row r="256" spans="1:1" x14ac:dyDescent="0.2">
      <c r="A256" s="52"/>
    </row>
    <row r="257" spans="1:1" x14ac:dyDescent="0.2">
      <c r="A257" s="52"/>
    </row>
    <row r="258" spans="1:1" x14ac:dyDescent="0.2">
      <c r="A258" s="52"/>
    </row>
    <row r="259" spans="1:1" x14ac:dyDescent="0.2">
      <c r="A259" s="52"/>
    </row>
    <row r="260" spans="1:1" x14ac:dyDescent="0.2">
      <c r="A260" s="52"/>
    </row>
    <row r="261" spans="1:1" x14ac:dyDescent="0.2">
      <c r="A261" s="52"/>
    </row>
    <row r="262" spans="1:1" x14ac:dyDescent="0.2">
      <c r="A262" s="52"/>
    </row>
    <row r="263" spans="1:1" x14ac:dyDescent="0.2">
      <c r="A263" s="52"/>
    </row>
    <row r="264" spans="1:1" x14ac:dyDescent="0.2">
      <c r="A264" s="52"/>
    </row>
    <row r="265" spans="1:1" x14ac:dyDescent="0.2">
      <c r="A265" s="52"/>
    </row>
    <row r="266" spans="1:1" x14ac:dyDescent="0.2">
      <c r="A266" s="52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71EA-0ED5-465D-B4BC-8062AB69339B}">
  <dimension ref="A1:R11"/>
  <sheetViews>
    <sheetView topLeftCell="A9" workbookViewId="0">
      <selection activeCell="D13" sqref="D13"/>
    </sheetView>
  </sheetViews>
  <sheetFormatPr defaultColWidth="8.7421875" defaultRowHeight="15" x14ac:dyDescent="0.2"/>
  <cols>
    <col min="1" max="1" width="13.31640625" style="27" bestFit="1" customWidth="1"/>
    <col min="2" max="2" width="12.9140625" style="27" bestFit="1" customWidth="1"/>
    <col min="3" max="4" width="13.5859375" style="27" bestFit="1" customWidth="1"/>
    <col min="5" max="5" width="11.703125" style="27" bestFit="1" customWidth="1"/>
    <col min="6" max="6" width="12.9140625" style="27" bestFit="1" customWidth="1"/>
    <col min="7" max="8" width="13.5859375" style="27" bestFit="1" customWidth="1"/>
    <col min="9" max="9" width="11.703125" style="27" bestFit="1" customWidth="1"/>
    <col min="10" max="10" width="12.9140625" style="27" bestFit="1" customWidth="1"/>
    <col min="11" max="12" width="13.5859375" style="27" bestFit="1" customWidth="1"/>
    <col min="13" max="13" width="11.703125" style="27" bestFit="1" customWidth="1"/>
    <col min="14" max="14" width="12.9140625" style="27" bestFit="1" customWidth="1"/>
    <col min="15" max="16" width="13.5859375" style="27" bestFit="1" customWidth="1"/>
    <col min="17" max="17" width="11.703125" style="27" bestFit="1" customWidth="1"/>
    <col min="18" max="18" width="15.6015625" style="48" bestFit="1" customWidth="1"/>
    <col min="19" max="16384" width="8.7421875" style="27"/>
  </cols>
  <sheetData>
    <row r="1" spans="1:18" x14ac:dyDescent="0.2">
      <c r="B1" s="74" t="s">
        <v>37</v>
      </c>
      <c r="C1" s="74"/>
      <c r="D1" s="74"/>
      <c r="E1" s="74"/>
      <c r="F1" s="74" t="s">
        <v>38</v>
      </c>
      <c r="G1" s="74"/>
      <c r="H1" s="74"/>
      <c r="I1" s="74"/>
      <c r="J1" s="74" t="s">
        <v>39</v>
      </c>
      <c r="K1" s="74"/>
      <c r="L1" s="74"/>
      <c r="M1" s="74"/>
      <c r="N1" s="74" t="s">
        <v>40</v>
      </c>
      <c r="O1" s="74"/>
      <c r="P1" s="74"/>
      <c r="Q1" s="74"/>
    </row>
    <row r="2" spans="1:18" x14ac:dyDescent="0.2">
      <c r="A2" s="42" t="s">
        <v>8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41</v>
      </c>
      <c r="G2" s="41" t="s">
        <v>42</v>
      </c>
      <c r="H2" s="41" t="s">
        <v>43</v>
      </c>
      <c r="I2" s="41" t="s">
        <v>44</v>
      </c>
      <c r="J2" s="41" t="s">
        <v>41</v>
      </c>
      <c r="K2" s="41" t="s">
        <v>42</v>
      </c>
      <c r="L2" s="41" t="s">
        <v>43</v>
      </c>
      <c r="M2" s="41" t="s">
        <v>44</v>
      </c>
      <c r="N2" s="41" t="s">
        <v>41</v>
      </c>
      <c r="O2" s="41" t="s">
        <v>42</v>
      </c>
      <c r="P2" s="41" t="s">
        <v>43</v>
      </c>
      <c r="Q2" s="41" t="s">
        <v>44</v>
      </c>
      <c r="R2" s="49" t="s">
        <v>54</v>
      </c>
    </row>
    <row r="3" spans="1:18" x14ac:dyDescent="0.2">
      <c r="A3" s="33" t="s">
        <v>2</v>
      </c>
      <c r="B3" s="43">
        <v>220</v>
      </c>
      <c r="C3" s="27">
        <v>100</v>
      </c>
      <c r="D3" s="43">
        <v>8</v>
      </c>
      <c r="E3" s="27">
        <f>C3+B3-D3</f>
        <v>312</v>
      </c>
      <c r="F3" s="27">
        <f>E3</f>
        <v>312</v>
      </c>
      <c r="G3" s="27">
        <v>0</v>
      </c>
      <c r="H3" s="43">
        <v>19</v>
      </c>
      <c r="I3" s="27">
        <f>F3-H3</f>
        <v>293</v>
      </c>
      <c r="J3" s="43">
        <f>I3</f>
        <v>293</v>
      </c>
      <c r="K3" s="27">
        <v>0</v>
      </c>
      <c r="L3" s="43">
        <v>11</v>
      </c>
      <c r="M3" s="27">
        <f>I3-L3</f>
        <v>282</v>
      </c>
      <c r="N3" s="27">
        <v>203</v>
      </c>
      <c r="O3" s="27">
        <v>0</v>
      </c>
      <c r="P3" s="43">
        <v>21</v>
      </c>
      <c r="Q3" s="27">
        <f>M3-P3</f>
        <v>261</v>
      </c>
      <c r="R3" s="48">
        <f>Q3/(B3+C3)</f>
        <v>0.81562500000000004</v>
      </c>
    </row>
    <row r="4" spans="1:18" x14ac:dyDescent="0.2">
      <c r="A4" s="27" t="s">
        <v>12</v>
      </c>
      <c r="B4" s="43">
        <v>0</v>
      </c>
      <c r="C4" s="27">
        <f>D4</f>
        <v>10</v>
      </c>
      <c r="D4" s="43">
        <v>10</v>
      </c>
      <c r="E4" s="27">
        <f>D4-C4+B4</f>
        <v>0</v>
      </c>
      <c r="F4" s="27">
        <f>E4</f>
        <v>0</v>
      </c>
      <c r="G4" s="27">
        <f>H4</f>
        <v>12</v>
      </c>
      <c r="H4" s="43">
        <v>12</v>
      </c>
      <c r="I4" s="27">
        <f>G4-H4</f>
        <v>0</v>
      </c>
      <c r="J4" s="43">
        <f>I4</f>
        <v>0</v>
      </c>
      <c r="K4" s="27">
        <f>L4</f>
        <v>0</v>
      </c>
      <c r="L4" s="43">
        <v>0</v>
      </c>
      <c r="M4" s="27">
        <f>K4-L4</f>
        <v>0</v>
      </c>
      <c r="N4" s="27">
        <f>M4</f>
        <v>0</v>
      </c>
      <c r="O4" s="27">
        <f>P4</f>
        <v>7</v>
      </c>
      <c r="P4" s="43">
        <v>7</v>
      </c>
      <c r="Q4" s="27">
        <f>O4-P4</f>
        <v>0</v>
      </c>
      <c r="R4" s="48">
        <f t="shared" ref="R4:R10" si="0">100% - (P4+L4+H4+D4)/(O4+K4+G4+C4)</f>
        <v>0</v>
      </c>
    </row>
    <row r="5" spans="1:18" x14ac:dyDescent="0.2">
      <c r="A5" s="27" t="s">
        <v>13</v>
      </c>
      <c r="B5" s="43">
        <v>0</v>
      </c>
      <c r="C5" s="27">
        <f t="shared" ref="C5:C7" si="1">D5</f>
        <v>20</v>
      </c>
      <c r="D5" s="43">
        <v>20</v>
      </c>
      <c r="E5" s="27">
        <f t="shared" ref="E5:E7" si="2">D5-C5+B5</f>
        <v>0</v>
      </c>
      <c r="F5" s="27">
        <f t="shared" ref="F5:F7" si="3">E5</f>
        <v>0</v>
      </c>
      <c r="G5" s="27">
        <f t="shared" ref="G5:G7" si="4">H5</f>
        <v>11</v>
      </c>
      <c r="H5" s="43">
        <v>11</v>
      </c>
      <c r="I5" s="27">
        <f t="shared" ref="I5:I7" si="5">G5-H5</f>
        <v>0</v>
      </c>
      <c r="J5" s="43">
        <f t="shared" ref="J5:J8" si="6">I5</f>
        <v>0</v>
      </c>
      <c r="K5" s="27">
        <f t="shared" ref="K5:K7" si="7">L5</f>
        <v>16</v>
      </c>
      <c r="L5" s="43">
        <v>16</v>
      </c>
      <c r="M5" s="27">
        <f t="shared" ref="M5:M7" si="8">K5-L5</f>
        <v>0</v>
      </c>
      <c r="N5" s="27">
        <f t="shared" ref="N5:N8" si="9">M5</f>
        <v>0</v>
      </c>
      <c r="O5" s="27">
        <f t="shared" ref="O5:O7" si="10">P5</f>
        <v>13</v>
      </c>
      <c r="P5" s="43">
        <v>13</v>
      </c>
      <c r="Q5" s="27">
        <f t="shared" ref="Q5:Q7" si="11">O5-P5</f>
        <v>0</v>
      </c>
      <c r="R5" s="48">
        <f t="shared" si="0"/>
        <v>0</v>
      </c>
    </row>
    <row r="6" spans="1:18" x14ac:dyDescent="0.2">
      <c r="A6" s="27" t="s">
        <v>17</v>
      </c>
      <c r="B6" s="43">
        <v>0</v>
      </c>
      <c r="C6" s="27">
        <f t="shared" si="1"/>
        <v>24</v>
      </c>
      <c r="D6" s="43">
        <v>24</v>
      </c>
      <c r="E6" s="27">
        <f t="shared" si="2"/>
        <v>0</v>
      </c>
      <c r="F6" s="27">
        <f t="shared" si="3"/>
        <v>0</v>
      </c>
      <c r="G6" s="27">
        <f t="shared" si="4"/>
        <v>0</v>
      </c>
      <c r="H6" s="43">
        <v>0</v>
      </c>
      <c r="I6" s="27">
        <f t="shared" si="5"/>
        <v>0</v>
      </c>
      <c r="J6" s="43">
        <f t="shared" si="6"/>
        <v>0</v>
      </c>
      <c r="K6" s="27">
        <f t="shared" si="7"/>
        <v>0</v>
      </c>
      <c r="L6" s="43">
        <v>0</v>
      </c>
      <c r="M6" s="27">
        <f t="shared" si="8"/>
        <v>0</v>
      </c>
      <c r="N6" s="27">
        <f t="shared" si="9"/>
        <v>0</v>
      </c>
      <c r="O6" s="27">
        <f t="shared" si="10"/>
        <v>0</v>
      </c>
      <c r="P6" s="43">
        <v>0</v>
      </c>
      <c r="Q6" s="27">
        <f t="shared" si="11"/>
        <v>0</v>
      </c>
      <c r="R6" s="48">
        <f t="shared" si="0"/>
        <v>0</v>
      </c>
    </row>
    <row r="7" spans="1:18" x14ac:dyDescent="0.2">
      <c r="A7" s="27" t="s">
        <v>15</v>
      </c>
      <c r="B7" s="43">
        <v>0</v>
      </c>
      <c r="C7" s="27">
        <f t="shared" si="1"/>
        <v>3</v>
      </c>
      <c r="D7" s="43">
        <v>3</v>
      </c>
      <c r="E7" s="27">
        <f t="shared" si="2"/>
        <v>0</v>
      </c>
      <c r="F7" s="27">
        <f t="shared" si="3"/>
        <v>0</v>
      </c>
      <c r="G7" s="27">
        <f t="shared" si="4"/>
        <v>10</v>
      </c>
      <c r="H7" s="43">
        <v>10</v>
      </c>
      <c r="I7" s="27">
        <f t="shared" si="5"/>
        <v>0</v>
      </c>
      <c r="J7" s="43">
        <f t="shared" si="6"/>
        <v>0</v>
      </c>
      <c r="K7" s="27">
        <f t="shared" si="7"/>
        <v>24</v>
      </c>
      <c r="L7" s="43">
        <v>24</v>
      </c>
      <c r="M7" s="27">
        <f t="shared" si="8"/>
        <v>0</v>
      </c>
      <c r="N7" s="27">
        <f t="shared" si="9"/>
        <v>0</v>
      </c>
      <c r="O7" s="27">
        <f t="shared" si="10"/>
        <v>0</v>
      </c>
      <c r="P7" s="43">
        <v>0</v>
      </c>
      <c r="Q7" s="27">
        <f t="shared" si="11"/>
        <v>0</v>
      </c>
      <c r="R7" s="48">
        <f t="shared" si="0"/>
        <v>0</v>
      </c>
    </row>
    <row r="8" spans="1:18" x14ac:dyDescent="0.2">
      <c r="A8" s="33" t="s">
        <v>1</v>
      </c>
      <c r="B8" s="43" t="s">
        <v>35</v>
      </c>
      <c r="C8" s="27">
        <v>120</v>
      </c>
      <c r="D8" s="43">
        <v>91</v>
      </c>
      <c r="E8" s="27">
        <f>C8-D8</f>
        <v>29</v>
      </c>
      <c r="F8" s="27">
        <v>29</v>
      </c>
      <c r="G8" s="27">
        <v>120</v>
      </c>
      <c r="H8" s="43">
        <v>70</v>
      </c>
      <c r="I8" s="27">
        <f>G8+F8-H8</f>
        <v>79</v>
      </c>
      <c r="J8" s="43">
        <f t="shared" si="6"/>
        <v>79</v>
      </c>
      <c r="K8" s="27">
        <v>60</v>
      </c>
      <c r="L8" s="43">
        <v>65</v>
      </c>
      <c r="M8" s="27">
        <f>K8+J8-L8</f>
        <v>74</v>
      </c>
      <c r="N8" s="27">
        <f t="shared" si="9"/>
        <v>74</v>
      </c>
      <c r="O8" s="27">
        <v>60</v>
      </c>
      <c r="P8" s="43">
        <v>86</v>
      </c>
      <c r="Q8" s="27">
        <f>N8+O8-P8</f>
        <v>48</v>
      </c>
      <c r="R8" s="48">
        <f t="shared" si="0"/>
        <v>0.1333333333333333</v>
      </c>
    </row>
    <row r="9" spans="1:18" x14ac:dyDescent="0.2">
      <c r="A9" s="33" t="s">
        <v>11</v>
      </c>
      <c r="B9" s="43" t="s">
        <v>35</v>
      </c>
      <c r="C9" s="27">
        <v>300</v>
      </c>
      <c r="D9" s="43">
        <v>289</v>
      </c>
      <c r="E9" s="27">
        <f>C9-D9</f>
        <v>11</v>
      </c>
      <c r="F9" s="27">
        <f>E9</f>
        <v>11</v>
      </c>
      <c r="G9" s="27">
        <v>300</v>
      </c>
      <c r="H9" s="43">
        <v>268</v>
      </c>
      <c r="I9" s="27">
        <f>G9+F9-H9</f>
        <v>43</v>
      </c>
      <c r="J9" s="43">
        <f>I9</f>
        <v>43</v>
      </c>
      <c r="K9" s="27">
        <v>300</v>
      </c>
      <c r="L9" s="43">
        <v>306</v>
      </c>
      <c r="M9" s="27">
        <f>J9+K9-L9</f>
        <v>37</v>
      </c>
      <c r="N9" s="27">
        <f>M9</f>
        <v>37</v>
      </c>
      <c r="O9" s="27">
        <v>300</v>
      </c>
      <c r="P9" s="43">
        <v>332</v>
      </c>
      <c r="Q9" s="27">
        <f>O9+N9-P9</f>
        <v>5</v>
      </c>
      <c r="R9" s="48">
        <f t="shared" si="0"/>
        <v>4.1666666666666519E-3</v>
      </c>
    </row>
    <row r="10" spans="1:18" x14ac:dyDescent="0.2">
      <c r="A10" s="33" t="s">
        <v>16</v>
      </c>
      <c r="B10" s="43" t="s">
        <v>35</v>
      </c>
      <c r="C10" s="27">
        <v>280</v>
      </c>
      <c r="D10" s="43">
        <v>189</v>
      </c>
      <c r="E10" s="27">
        <f>C10-D10</f>
        <v>91</v>
      </c>
      <c r="F10" s="27">
        <f>E10</f>
        <v>91</v>
      </c>
      <c r="G10" s="27">
        <v>0</v>
      </c>
      <c r="H10" s="43">
        <v>26</v>
      </c>
      <c r="I10" s="27">
        <f>G10+F10-H10</f>
        <v>65</v>
      </c>
      <c r="J10" s="43">
        <f>I10</f>
        <v>65</v>
      </c>
      <c r="K10" s="27">
        <v>0</v>
      </c>
      <c r="L10" s="43">
        <v>20</v>
      </c>
      <c r="M10" s="27">
        <f>J10+K10-L10</f>
        <v>45</v>
      </c>
      <c r="N10" s="27">
        <f>M10</f>
        <v>45</v>
      </c>
      <c r="O10" s="27">
        <v>0</v>
      </c>
      <c r="P10" s="43">
        <v>20</v>
      </c>
      <c r="Q10" s="27">
        <f>O10+N10-P10</f>
        <v>25</v>
      </c>
      <c r="R10" s="48">
        <f t="shared" si="0"/>
        <v>8.9285714285714302E-2</v>
      </c>
    </row>
    <row r="11" spans="1:18" x14ac:dyDescent="0.2">
      <c r="A11" s="42" t="s">
        <v>27</v>
      </c>
      <c r="B11" s="43" t="s">
        <v>35</v>
      </c>
    </row>
  </sheetData>
  <mergeCells count="4">
    <mergeCell ref="J1:M1"/>
    <mergeCell ref="N1:Q1"/>
    <mergeCell ref="B1:E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792A-45F0-42D6-B190-9BD23728720E}">
  <dimension ref="A1:M15"/>
  <sheetViews>
    <sheetView topLeftCell="A5" zoomScaleNormal="100" workbookViewId="0">
      <selection activeCell="F21" sqref="F21"/>
    </sheetView>
  </sheetViews>
  <sheetFormatPr defaultColWidth="8.7421875" defaultRowHeight="15" x14ac:dyDescent="0.2"/>
  <cols>
    <col min="1" max="1" width="13.31640625" style="51" bestFit="1" customWidth="1"/>
    <col min="2" max="2" width="22.1953125" style="57" bestFit="1" customWidth="1"/>
    <col min="3" max="3" width="13.71875" style="57" bestFit="1" customWidth="1"/>
    <col min="4" max="4" width="11.1640625" style="57" bestFit="1" customWidth="1"/>
    <col min="5" max="5" width="21.25390625" style="51" bestFit="1" customWidth="1"/>
    <col min="6" max="6" width="12.77734375" style="51" bestFit="1" customWidth="1"/>
    <col min="7" max="7" width="10.76171875" style="51" bestFit="1" customWidth="1"/>
    <col min="8" max="8" width="21.25390625" style="51" bestFit="1" customWidth="1"/>
    <col min="9" max="9" width="12.77734375" style="51" bestFit="1" customWidth="1"/>
    <col min="10" max="10" width="10.76171875" style="51" bestFit="1" customWidth="1"/>
    <col min="11" max="11" width="21.25390625" style="51" bestFit="1" customWidth="1"/>
    <col min="12" max="12" width="12.77734375" style="51" bestFit="1" customWidth="1"/>
    <col min="13" max="13" width="10.76171875" style="51" bestFit="1" customWidth="1"/>
    <col min="14" max="14" width="10.22265625" style="51" bestFit="1" customWidth="1"/>
    <col min="15" max="16384" width="8.7421875" style="51"/>
  </cols>
  <sheetData>
    <row r="1" spans="1:13" x14ac:dyDescent="0.2">
      <c r="A1" s="53" t="s">
        <v>8</v>
      </c>
      <c r="B1" s="54" t="s">
        <v>48</v>
      </c>
      <c r="C1" s="54" t="s">
        <v>47</v>
      </c>
      <c r="D1" s="55" t="s">
        <v>49</v>
      </c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2">
      <c r="A2" s="56" t="s">
        <v>5</v>
      </c>
      <c r="B2" s="62">
        <f>0.97*C2</f>
        <v>5390.2901241599993</v>
      </c>
      <c r="C2" s="62">
        <v>5557.0001279999997</v>
      </c>
      <c r="D2" s="62">
        <f>C2-B2</f>
        <v>166.71000384000035</v>
      </c>
    </row>
    <row r="3" spans="1:13" x14ac:dyDescent="0.2">
      <c r="A3" s="56" t="s">
        <v>2</v>
      </c>
      <c r="B3" s="62">
        <f>0.9*C3</f>
        <v>796.5001962</v>
      </c>
      <c r="C3" s="62">
        <v>885.00021800000002</v>
      </c>
      <c r="D3" s="62">
        <f>C3-B3</f>
        <v>88.500021800000013</v>
      </c>
    </row>
    <row r="4" spans="1:13" x14ac:dyDescent="0.2">
      <c r="A4" s="56" t="s">
        <v>12</v>
      </c>
      <c r="B4" s="62">
        <f>C4</f>
        <v>780.40001000000007</v>
      </c>
      <c r="C4" s="62">
        <v>780.40001000000007</v>
      </c>
      <c r="D4" s="62">
        <f t="shared" ref="D4:D14" si="0">C4-B4</f>
        <v>0</v>
      </c>
    </row>
    <row r="5" spans="1:13" x14ac:dyDescent="0.2">
      <c r="A5" s="56" t="s">
        <v>13</v>
      </c>
      <c r="B5" s="62">
        <f>C5</f>
        <v>4500</v>
      </c>
      <c r="C5" s="62">
        <v>4500</v>
      </c>
      <c r="D5" s="62">
        <f t="shared" si="0"/>
        <v>0</v>
      </c>
    </row>
    <row r="6" spans="1:13" x14ac:dyDescent="0.2">
      <c r="A6" s="56" t="s">
        <v>17</v>
      </c>
      <c r="B6" s="62">
        <f>C6</f>
        <v>229.20001400000001</v>
      </c>
      <c r="C6" s="62">
        <v>229.20001400000001</v>
      </c>
      <c r="D6" s="62">
        <f t="shared" si="0"/>
        <v>0</v>
      </c>
    </row>
    <row r="7" spans="1:13" x14ac:dyDescent="0.2">
      <c r="A7" s="56" t="s">
        <v>15</v>
      </c>
      <c r="B7" s="62">
        <f>C7</f>
        <v>358</v>
      </c>
      <c r="C7" s="62">
        <v>358</v>
      </c>
      <c r="D7" s="62">
        <f t="shared" si="0"/>
        <v>0</v>
      </c>
    </row>
    <row r="8" spans="1:13" x14ac:dyDescent="0.2">
      <c r="A8" s="56" t="s">
        <v>6</v>
      </c>
      <c r="B8" s="62">
        <f>0.93*C8</f>
        <v>6986.1608221200004</v>
      </c>
      <c r="C8" s="62">
        <v>7512.000884</v>
      </c>
      <c r="D8" s="62">
        <f t="shared" si="0"/>
        <v>525.84006187999967</v>
      </c>
    </row>
    <row r="9" spans="1:13" x14ac:dyDescent="0.2">
      <c r="A9" s="56" t="s">
        <v>1</v>
      </c>
      <c r="B9" s="62">
        <f>0.85*C9</f>
        <v>4795.7005762999997</v>
      </c>
      <c r="C9" s="62">
        <v>5642.0006780000003</v>
      </c>
      <c r="D9" s="62">
        <f t="shared" si="0"/>
        <v>846.3001017000006</v>
      </c>
    </row>
    <row r="10" spans="1:13" x14ac:dyDescent="0.2">
      <c r="A10" s="56" t="s">
        <v>11</v>
      </c>
      <c r="B10" s="62">
        <f>C10/6*5</f>
        <v>6183.0000000000009</v>
      </c>
      <c r="C10" s="62">
        <v>7419.6</v>
      </c>
      <c r="D10" s="62">
        <f t="shared" si="0"/>
        <v>1236.5999999999995</v>
      </c>
    </row>
    <row r="11" spans="1:13" x14ac:dyDescent="0.2">
      <c r="A11" s="56" t="s">
        <v>16</v>
      </c>
      <c r="B11" s="62">
        <f>C11/26*23.5</f>
        <v>6202.1921269230779</v>
      </c>
      <c r="C11" s="62">
        <v>6861.9998000000005</v>
      </c>
      <c r="D11" s="62">
        <f t="shared" si="0"/>
        <v>659.80767307692258</v>
      </c>
    </row>
    <row r="12" spans="1:13" x14ac:dyDescent="0.2">
      <c r="A12" s="56" t="s">
        <v>0</v>
      </c>
      <c r="B12" s="62">
        <f>0.92*C12</f>
        <v>5364.5203459200002</v>
      </c>
      <c r="C12" s="62">
        <v>5831.000376</v>
      </c>
      <c r="D12" s="62">
        <f t="shared" si="0"/>
        <v>466.48003007999978</v>
      </c>
    </row>
    <row r="13" spans="1:13" x14ac:dyDescent="0.2">
      <c r="A13" s="56" t="s">
        <v>4</v>
      </c>
      <c r="B13" s="62">
        <f>10000</f>
        <v>10000</v>
      </c>
      <c r="C13" s="62">
        <v>14297.000050999999</v>
      </c>
      <c r="D13" s="62">
        <f t="shared" si="0"/>
        <v>4297.0000509999991</v>
      </c>
      <c r="F13" s="58"/>
      <c r="L13" s="58"/>
    </row>
    <row r="14" spans="1:13" x14ac:dyDescent="0.2">
      <c r="A14" s="56" t="s">
        <v>7</v>
      </c>
      <c r="B14" s="63">
        <f>0.93*C14</f>
        <v>5769.7199758200004</v>
      </c>
      <c r="C14" s="62">
        <v>6203.9999740000003</v>
      </c>
      <c r="D14" s="62">
        <f t="shared" si="0"/>
        <v>434.27999817999989</v>
      </c>
    </row>
    <row r="15" spans="1:13" s="60" customFormat="1" x14ac:dyDescent="0.2">
      <c r="A15" s="59" t="s">
        <v>45</v>
      </c>
      <c r="B15" s="64">
        <f t="shared" ref="B15:C15" si="1">SUM(B2:B14)</f>
        <v>57355.684191443077</v>
      </c>
      <c r="C15" s="64">
        <f t="shared" si="1"/>
        <v>66077.202132999999</v>
      </c>
      <c r="D15" s="64">
        <f>SUM(D2:D14)</f>
        <v>8721.5179415569219</v>
      </c>
    </row>
  </sheetData>
  <mergeCells count="3">
    <mergeCell ref="E1:G1"/>
    <mergeCell ref="H1:J1"/>
    <mergeCell ref="K1:M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Z w x 9 U 0 b Y P G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n n 4 2 + j C u j T 7 U C 3 Y A U E s D B B Q A A g A I A G c M f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D H 1 T 9 U w Y 8 Z 0 A A A D K A A A A E w A c A E Z v c m 1 1 b G F z L 1 N l Y 3 R p b 2 4 x L m 0 g o h g A K K A U A A A A A A A A A A A A A A A A A A A A A A A A A A A A T Y 4 x C 8 I w E I X 3 Q P 7 D 0 U k X q R 0 t L l o K H Q p C H L M c 6 a E n a V K S F O m / N 7 U I v u U 9 H u + O L 5 J J 7 B 2 o z Y + 1 F F L E J w Y a o E s 0 v j k S n M F S k g K y l J + D W Z v W 2 4 H C o W V L c V c 0 J 9 1 1 d 9 3 w Z P 2 I w A 4 a T A j K M D l D + j J H d h T j 1 v b o 8 E E j u a S v O M X k H c E t + F d G 0 O t A K 8 x P c 2 S 7 f C 9 0 j w t U Z V X q H 1 K x l 4 L d P 1 L 9 A V B L A Q I t A B Q A A g A I A G c M f V N G 2 D x p p Q A A A P U A A A A S A A A A A A A A A A A A A A A A A A A A A A B D b 2 5 m a W c v U G F j a 2 F n Z S 5 4 b W x Q S w E C L Q A U A A I A C A B n D H 1 T D 8 r p q 6 Q A A A D p A A A A E w A A A A A A A A A A A A A A A A D x A A A A W 0 N v b n R l b n R f V H l w Z X N d L n h t b F B L A Q I t A B Q A A g A I A G c M f V P 1 T B j x n Q A A A M o A A A A T A A A A A A A A A A A A A A A A A O I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L A A A A A A A A W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G V t d 2 l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E t M j h U M j A 6 M D M 6 N D Y u N T U 3 N z c z O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l 0 Z W 1 3 a X N l L 1 N v d X J j Z S 5 7 Q 2 9 u d G V u d C w w f S Z x d W 9 0 O y w m c X V v d D t T Z W N 0 a W 9 u M S 9 J d G V t d 2 l z Z S 9 T b 3 V y Y 2 U u e 0 5 h b W U s M X 0 m c X V v d D s s J n F 1 b 3 Q 7 U 2 V j d G l v b j E v S X R l b X d p c 2 U v U 2 9 1 c m N l L n t F e H R l b n N p b 2 4 s M n 0 m c X V v d D s s J n F 1 b 3 Q 7 U 2 V j d G l v b j E v S X R l b X d p c 2 U v U 2 9 1 c m N l L n t E Y X R l I G F j Y 2 V z c 2 V k L D N 9 J n F 1 b 3 Q 7 L C Z x d W 9 0 O 1 N l Y 3 R p b 2 4 x L 0 l 0 Z W 1 3 a X N l L 1 N v d X J j Z S 5 7 R G F 0 Z S B t b 2 R p Z m l l Z C w 0 f S Z x d W 9 0 O y w m c X V v d D t T Z W N 0 a W 9 u M S 9 J d G V t d 2 l z Z S 9 T b 3 V y Y 2 U u e 0 R h d G U g Y 3 J l Y X R l Z C w 1 f S Z x d W 9 0 O y w m c X V v d D t T Z W N 0 a W 9 u M S 9 J d G V t d 2 l z Z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J d G V t d 2 l z Z S 9 T b 3 V y Y 2 U u e 0 N v b n R l b n Q s M H 0 m c X V v d D s s J n F 1 b 3 Q 7 U 2 V j d G l v b j E v S X R l b X d p c 2 U v U 2 9 1 c m N l L n t O Y W 1 l L D F 9 J n F 1 b 3 Q 7 L C Z x d W 9 0 O 1 N l Y 3 R p b 2 4 x L 0 l 0 Z W 1 3 a X N l L 1 N v d X J j Z S 5 7 R X h 0 Z W 5 z a W 9 u L D J 9 J n F 1 b 3 Q 7 L C Z x d W 9 0 O 1 N l Y 3 R p b 2 4 x L 0 l 0 Z W 1 3 a X N l L 1 N v d X J j Z S 5 7 R G F 0 Z S B h Y 2 N l c 3 N l Z C w z f S Z x d W 9 0 O y w m c X V v d D t T Z W N 0 a W 9 u M S 9 J d G V t d 2 l z Z S 9 T b 3 V y Y 2 U u e 0 R h d G U g b W 9 k a W Z p Z W Q s N H 0 m c X V v d D s s J n F 1 b 3 Q 7 U 2 V j d G l v b j E v S X R l b X d p c 2 U v U 2 9 1 c m N l L n t E Y X R l I G N y Z W F 0 Z W Q s N X 0 m c X V v d D s s J n F 1 b 3 Q 7 U 2 V j d G l v b j E v S X R l b X d p c 2 U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b X d p c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f O L w l 9 g 1 L j N R 5 5 c 3 1 X r U A A A A A A g A A A A A A E G Y A A A A B A A A g A A A A H + 3 6 L 1 N L c W U G b V F e U D E y 2 V 9 N D r O k R Z D o S r x Q l F d s w 8 Q A A A A A D o A A A A A C A A A g A A A A N X m 4 v A 0 f q r O l l N L M N o x z N 9 d t k p i 6 G n F 8 F l / K 1 1 u E X N x Q A A A A T z M r Z H J x r E A N G S B 2 d n 0 P w E d Y M Y q N i E 5 3 v H b A J k q 3 8 4 k u q O y H Z j C K R + a Z 4 2 / t K u n 0 L 8 b d Z Z y 1 U i K b 9 9 K r p g c R 7 Q Z Y B J J 4 2 y Z 4 z 7 2 H d 8 0 E Z 0 R A A A A A H u 1 G 0 o a U 9 S q D C U I x F J C T B / R G d L s b T L L J w B 1 V T V n J J Z a T c C 8 y m d g O v T x k n f P j R l e U e i M + d g C q C N r O m / G x / a d 9 5 Q = = < / D a t a M a s h u p > 
</file>

<file path=customXml/itemProps1.xml><?xml version="1.0" encoding="utf-8"?>
<ds:datastoreItem xmlns:ds="http://schemas.openxmlformats.org/officeDocument/2006/customXml" ds:itemID="{A49EF679-B575-4784-9CA5-3F06C72BC1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2020 - Daily Ledger</vt:lpstr>
      <vt:lpstr>May 2020 - Daily Sales</vt:lpstr>
      <vt:lpstr>May 2020 - Pivot</vt:lpstr>
      <vt:lpstr>Oct 2021 - Daily Ledger</vt:lpstr>
      <vt:lpstr>Oct 2021 - Daily Sales</vt:lpstr>
      <vt:lpstr>Oct 2021 - Pivot</vt:lpstr>
      <vt:lpstr>Oct 2021 - Weekly Ledger</vt:lpstr>
      <vt:lpstr>Oct 2021 - 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2021-11-28T18:36:25Z</dcterms:created>
  <dcterms:modified xsi:type="dcterms:W3CDTF">2021-12-05T20:11:39Z</dcterms:modified>
</cp:coreProperties>
</file>