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ica 2\Desktop\25-11-15\MARSHALL SAN LUIS DEL CORDERO-SAN PEDRO\"/>
    </mc:Choice>
  </mc:AlternateContent>
  <bookViews>
    <workbookView xWindow="675" yWindow="825" windowWidth="14295" windowHeight="8190" firstSheet="12" activeTab="14"/>
  </bookViews>
  <sheets>
    <sheet name="CALCULO SELLO CALIZO" sheetId="7" r:id="rId1"/>
    <sheet name="CALCULO SELLO RELOTICO" sheetId="19" r:id="rId2"/>
    <sheet name="CALCULO POLVILLO ARENAS" sheetId="10" r:id="rId3"/>
    <sheet name="CALCULO TEORICO MEZCLA" sheetId="12" r:id="rId4"/>
    <sheet name="CALCULO MEZCLA FISICA" sheetId="15" r:id="rId5"/>
    <sheet name="INFORME PETREO SELLO CALIZO" sheetId="1" r:id="rId6"/>
    <sheet name="INFORME PETREO SELLO REOLITICO" sheetId="21" r:id="rId7"/>
    <sheet name="INFORME PETREO POLVILLO ARENAS" sheetId="11" r:id="rId8"/>
    <sheet name="INFORME PETREO TEORICO" sheetId="13" r:id="rId9"/>
    <sheet name="INFORME PETREO FISICO" sheetId="16" r:id="rId10"/>
    <sheet name="INFORME ASFALTO" sheetId="23" r:id="rId11"/>
    <sheet name="VISCOSIDAD" sheetId="28" r:id="rId12"/>
    <sheet name="DENSIDAD INGENIEROS" sheetId="24" r:id="rId13"/>
    <sheet name="CALCULO MARSHALL" sheetId="25" r:id="rId14"/>
    <sheet name="RESUMEN MARSHALL" sheetId="27" r:id="rId15"/>
    <sheet name="INFORME MARSHALL" sheetId="26" r:id="rId16"/>
    <sheet name="INFORME MEZCLA COMPROBACION" sheetId="29" r:id="rId17"/>
  </sheets>
  <definedNames>
    <definedName name="_xlnm.Print_Area" localSheetId="12">'DENSIDAD INGENIEROS'!$A$1:$G$51</definedName>
    <definedName name="_xlnm.Print_Area" localSheetId="10">'INFORME ASFALTO'!$A$1:$N$41</definedName>
    <definedName name="_xlnm.Print_Area" localSheetId="15">'INFORME MARSHALL'!$A$1:$G$67</definedName>
    <definedName name="_xlnm.Print_Area" localSheetId="16">'INFORME MEZCLA COMPROBACION'!$A$1:$AG$71</definedName>
    <definedName name="_xlnm.Print_Area" localSheetId="9">'INFORME PETREO FISICO'!$A$1:$AF$66</definedName>
    <definedName name="_xlnm.Print_Area" localSheetId="7">'INFORME PETREO POLVILLO ARENAS'!$A$1:$AF$66</definedName>
    <definedName name="_xlnm.Print_Area" localSheetId="5">'INFORME PETREO SELLO CALIZO'!$A$1:$AF$66</definedName>
    <definedName name="_xlnm.Print_Area" localSheetId="6">'INFORME PETREO SELLO REOLITICO'!$A$1:$AF$66</definedName>
    <definedName name="_xlnm.Print_Area" localSheetId="8">'INFORME PETREO TEORICO'!$A$1:$AF$66</definedName>
    <definedName name="_xlnm.Print_Area" localSheetId="14">'RESUMEN MARSHALL'!$A$1:$G$32</definedName>
  </definedNames>
  <calcPr calcId="152511"/>
</workbook>
</file>

<file path=xl/calcChain.xml><?xml version="1.0" encoding="utf-8"?>
<calcChain xmlns="http://schemas.openxmlformats.org/spreadsheetml/2006/main">
  <c r="B18" i="27" l="1"/>
  <c r="F47" i="26" l="1"/>
  <c r="F48" i="26"/>
  <c r="F49" i="26"/>
  <c r="F46" i="26"/>
  <c r="F45" i="26"/>
  <c r="F44" i="26"/>
  <c r="F43" i="26"/>
  <c r="AB29" i="25" l="1"/>
  <c r="N15" i="12" l="1"/>
  <c r="Q43" i="16"/>
  <c r="Q35" i="25"/>
  <c r="H11" i="15" l="1"/>
  <c r="H12" i="15"/>
  <c r="B10" i="12" l="1"/>
  <c r="H11" i="10"/>
  <c r="C25" i="10"/>
  <c r="H11" i="19"/>
  <c r="D25" i="19"/>
  <c r="H11" i="7"/>
  <c r="D25" i="7"/>
  <c r="C24" i="10"/>
  <c r="D24" i="10"/>
  <c r="Q39" i="25" l="1"/>
  <c r="I39" i="25"/>
  <c r="A39" i="25"/>
  <c r="C43" i="12" l="1"/>
  <c r="E43" i="12" s="1"/>
  <c r="F65" i="26" l="1"/>
  <c r="C11" i="26"/>
  <c r="G7" i="26"/>
  <c r="F32" i="27"/>
  <c r="G38" i="28"/>
  <c r="G40" i="28"/>
  <c r="P18" i="16"/>
  <c r="J16" i="16"/>
  <c r="Q44" i="16"/>
  <c r="Q48" i="16"/>
  <c r="Q45" i="16"/>
  <c r="P18" i="11"/>
  <c r="I17" i="11"/>
  <c r="J16" i="11"/>
  <c r="P18" i="13"/>
  <c r="J16" i="13"/>
  <c r="E37" i="12"/>
  <c r="E38" i="12" s="1"/>
  <c r="D37" i="12"/>
  <c r="D38" i="12" s="1"/>
  <c r="C37" i="12"/>
  <c r="C38" i="12" s="1"/>
  <c r="A12" i="12"/>
  <c r="A11" i="12"/>
  <c r="A10" i="12"/>
  <c r="C2" i="12"/>
  <c r="P18" i="21"/>
  <c r="I17" i="21"/>
  <c r="J16" i="21"/>
  <c r="H2" i="19"/>
  <c r="H2" i="10" s="1"/>
  <c r="M2" i="12" s="1"/>
  <c r="H2" i="15" s="1"/>
  <c r="U10" i="16" s="1"/>
  <c r="H4" i="19"/>
  <c r="H4" i="10" s="1"/>
  <c r="N4" i="12" s="1"/>
  <c r="V12" i="13" s="1"/>
  <c r="V12" i="16" s="1"/>
  <c r="G8" i="27" s="1"/>
  <c r="H3" i="19"/>
  <c r="H3" i="10" s="1"/>
  <c r="N3" i="12" s="1"/>
  <c r="X11" i="13" s="1"/>
  <c r="X11" i="16" s="1"/>
  <c r="G7" i="27" s="1"/>
  <c r="B4" i="19"/>
  <c r="B4" i="10" s="1"/>
  <c r="B4" i="15" s="1"/>
  <c r="C5" i="19"/>
  <c r="C5" i="10" s="1"/>
  <c r="C5" i="15" s="1"/>
  <c r="B2" i="19"/>
  <c r="B2" i="10" s="1"/>
  <c r="B2" i="15" s="1"/>
  <c r="H4" i="7"/>
  <c r="H4" i="15" l="1"/>
  <c r="H3" i="15"/>
  <c r="B14" i="27"/>
  <c r="U10" i="21" l="1"/>
  <c r="U66" i="29" l="1"/>
  <c r="T68" i="29"/>
  <c r="Q20" i="29"/>
  <c r="X11" i="29"/>
  <c r="D25" i="24" l="1"/>
  <c r="D19" i="24"/>
  <c r="D34" i="24" s="1"/>
  <c r="F15" i="24"/>
  <c r="J38" i="23"/>
  <c r="C12" i="26" l="1"/>
  <c r="F7" i="26"/>
  <c r="G22" i="27"/>
  <c r="AB32" i="25" l="1"/>
  <c r="AB33" i="25" s="1"/>
  <c r="G24" i="27" s="1"/>
  <c r="V32" i="25"/>
  <c r="X32" i="25" s="1"/>
  <c r="J32" i="25"/>
  <c r="I32" i="25"/>
  <c r="K32" i="25" s="1"/>
  <c r="AB31" i="25"/>
  <c r="V31" i="25"/>
  <c r="X31" i="25" s="1"/>
  <c r="J31" i="25"/>
  <c r="I31" i="25"/>
  <c r="K31" i="25" s="1"/>
  <c r="AB30" i="25"/>
  <c r="V30" i="25"/>
  <c r="X30" i="25" s="1"/>
  <c r="J30" i="25"/>
  <c r="I30" i="25"/>
  <c r="K30" i="25" s="1"/>
  <c r="AB28" i="25"/>
  <c r="V28" i="25"/>
  <c r="X28" i="25" s="1"/>
  <c r="J28" i="25"/>
  <c r="I28" i="25"/>
  <c r="K28" i="25" s="1"/>
  <c r="AB27" i="25"/>
  <c r="V27" i="25"/>
  <c r="X27" i="25" s="1"/>
  <c r="J27" i="25"/>
  <c r="I27" i="25"/>
  <c r="K27" i="25" s="1"/>
  <c r="AB26" i="25"/>
  <c r="V26" i="25"/>
  <c r="X26" i="25" s="1"/>
  <c r="J26" i="25"/>
  <c r="I26" i="25"/>
  <c r="K26" i="25" s="1"/>
  <c r="AB24" i="25"/>
  <c r="V24" i="25"/>
  <c r="X24" i="25" s="1"/>
  <c r="J24" i="25"/>
  <c r="I24" i="25"/>
  <c r="K24" i="25" s="1"/>
  <c r="AB23" i="25"/>
  <c r="V23" i="25"/>
  <c r="X23" i="25" s="1"/>
  <c r="J23" i="25"/>
  <c r="I23" i="25"/>
  <c r="K23" i="25" s="1"/>
  <c r="AB22" i="25"/>
  <c r="V22" i="25"/>
  <c r="X22" i="25" s="1"/>
  <c r="J22" i="25"/>
  <c r="I22" i="25"/>
  <c r="K22" i="25" s="1"/>
  <c r="AB20" i="25"/>
  <c r="V20" i="25"/>
  <c r="X20" i="25" s="1"/>
  <c r="J20" i="25"/>
  <c r="I20" i="25"/>
  <c r="K20" i="25" s="1"/>
  <c r="AB19" i="25"/>
  <c r="V19" i="25"/>
  <c r="X19" i="25" s="1"/>
  <c r="J19" i="25"/>
  <c r="I19" i="25"/>
  <c r="K19" i="25" s="1"/>
  <c r="AB18" i="25"/>
  <c r="AB21" i="25" s="1"/>
  <c r="G18" i="27" s="1"/>
  <c r="V18" i="25"/>
  <c r="X18" i="25" s="1"/>
  <c r="J18" i="25"/>
  <c r="I18" i="25"/>
  <c r="K18" i="25" s="1"/>
  <c r="AB16" i="25"/>
  <c r="V16" i="25"/>
  <c r="X16" i="25" s="1"/>
  <c r="J16" i="25"/>
  <c r="I16" i="25"/>
  <c r="K16" i="25" s="1"/>
  <c r="AB15" i="25"/>
  <c r="V15" i="25"/>
  <c r="X15" i="25" s="1"/>
  <c r="J15" i="25"/>
  <c r="I15" i="25"/>
  <c r="K15" i="25" s="1"/>
  <c r="AB14" i="25"/>
  <c r="V14" i="25"/>
  <c r="X14" i="25" s="1"/>
  <c r="J14" i="25"/>
  <c r="I14" i="25"/>
  <c r="K14" i="25" s="1"/>
  <c r="AB12" i="25"/>
  <c r="V12" i="25"/>
  <c r="X12" i="25" s="1"/>
  <c r="J12" i="25"/>
  <c r="I12" i="25"/>
  <c r="K12" i="25" s="1"/>
  <c r="AB11" i="25"/>
  <c r="V11" i="25"/>
  <c r="X11" i="25" s="1"/>
  <c r="J11" i="25"/>
  <c r="I11" i="25"/>
  <c r="D11" i="25"/>
  <c r="D12" i="25" s="1"/>
  <c r="E12" i="25" s="1"/>
  <c r="AB10" i="25"/>
  <c r="V10" i="25"/>
  <c r="X10" i="25" s="1"/>
  <c r="J10" i="25"/>
  <c r="I10" i="25"/>
  <c r="K10" i="25" s="1"/>
  <c r="E10" i="25"/>
  <c r="E49" i="24"/>
  <c r="B49" i="24"/>
  <c r="A49" i="24"/>
  <c r="E38" i="23"/>
  <c r="A38" i="23"/>
  <c r="D15" i="23"/>
  <c r="B10" i="24" s="1"/>
  <c r="K9" i="23"/>
  <c r="K10" i="23"/>
  <c r="W11" i="16"/>
  <c r="E9" i="16"/>
  <c r="C9" i="23" s="1"/>
  <c r="W11" i="13"/>
  <c r="E9" i="13"/>
  <c r="Q46" i="11"/>
  <c r="Q45" i="11"/>
  <c r="Q44" i="11"/>
  <c r="X11" i="11"/>
  <c r="W11" i="11"/>
  <c r="U10" i="11"/>
  <c r="E9" i="11"/>
  <c r="Q46" i="21"/>
  <c r="Q45" i="21"/>
  <c r="Q44" i="21"/>
  <c r="W11" i="21"/>
  <c r="E9" i="21"/>
  <c r="Q46" i="1"/>
  <c r="Q45" i="1"/>
  <c r="Q44" i="1"/>
  <c r="X11" i="1"/>
  <c r="X11" i="21" s="1"/>
  <c r="W11" i="1"/>
  <c r="U10" i="1"/>
  <c r="E9" i="1"/>
  <c r="H56" i="15"/>
  <c r="H55" i="15"/>
  <c r="H54" i="15"/>
  <c r="G50" i="15"/>
  <c r="H48" i="15" s="1"/>
  <c r="C50" i="15"/>
  <c r="B50" i="15"/>
  <c r="E49" i="15"/>
  <c r="D49" i="15"/>
  <c r="E48" i="15"/>
  <c r="D48" i="15"/>
  <c r="E47" i="15"/>
  <c r="D47" i="15"/>
  <c r="E46" i="15"/>
  <c r="D46" i="15"/>
  <c r="G42" i="15"/>
  <c r="G41" i="15"/>
  <c r="G40" i="15"/>
  <c r="G39" i="15"/>
  <c r="G33" i="15"/>
  <c r="L15" i="12" s="1"/>
  <c r="G32" i="15"/>
  <c r="G31" i="15"/>
  <c r="G30" i="15"/>
  <c r="D25" i="15"/>
  <c r="E23" i="15" s="1"/>
  <c r="D24" i="15"/>
  <c r="E24" i="15" s="1"/>
  <c r="E22" i="15"/>
  <c r="E20" i="15"/>
  <c r="E18" i="15"/>
  <c r="E16" i="15"/>
  <c r="E14" i="15"/>
  <c r="E12" i="15"/>
  <c r="F23" i="16"/>
  <c r="E11" i="15"/>
  <c r="K48" i="12"/>
  <c r="A48" i="12"/>
  <c r="A47" i="12"/>
  <c r="A46" i="12"/>
  <c r="K45" i="12"/>
  <c r="A45" i="12"/>
  <c r="A44" i="12"/>
  <c r="K42" i="12"/>
  <c r="A42" i="12"/>
  <c r="A24" i="12"/>
  <c r="C19" i="12"/>
  <c r="C18" i="12"/>
  <c r="C28" i="12" s="1"/>
  <c r="A18" i="12"/>
  <c r="A28" i="12" s="1"/>
  <c r="C17" i="12"/>
  <c r="C27" i="12" s="1"/>
  <c r="C16" i="12"/>
  <c r="C26" i="12" s="1"/>
  <c r="A13" i="12"/>
  <c r="A19" i="12" s="1"/>
  <c r="A17" i="12"/>
  <c r="A27" i="12" s="1"/>
  <c r="A16" i="12"/>
  <c r="A26" i="12" s="1"/>
  <c r="U10" i="13"/>
  <c r="H57" i="10"/>
  <c r="H56" i="10"/>
  <c r="H55" i="10"/>
  <c r="H54" i="10"/>
  <c r="G50" i="10"/>
  <c r="E50" i="10"/>
  <c r="C50" i="10"/>
  <c r="B50" i="10"/>
  <c r="E49" i="10"/>
  <c r="D49" i="10"/>
  <c r="H48" i="10"/>
  <c r="E48" i="10"/>
  <c r="D48" i="10"/>
  <c r="E47" i="10"/>
  <c r="D47" i="10"/>
  <c r="E46" i="10"/>
  <c r="D46" i="10"/>
  <c r="G42" i="10"/>
  <c r="Q48" i="11" s="1"/>
  <c r="G41" i="10"/>
  <c r="G40" i="10"/>
  <c r="G39" i="10"/>
  <c r="Q43" i="11" s="1"/>
  <c r="G33" i="10"/>
  <c r="G32" i="10"/>
  <c r="G31" i="10"/>
  <c r="G30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9" i="10" s="1"/>
  <c r="F10" i="10" s="1"/>
  <c r="K11" i="23"/>
  <c r="H57" i="19"/>
  <c r="H56" i="19"/>
  <c r="H55" i="19"/>
  <c r="H54" i="19"/>
  <c r="G50" i="19"/>
  <c r="E50" i="19"/>
  <c r="C50" i="19"/>
  <c r="B50" i="19"/>
  <c r="E49" i="19"/>
  <c r="D49" i="19"/>
  <c r="H48" i="19"/>
  <c r="E48" i="19"/>
  <c r="D48" i="19"/>
  <c r="E47" i="19"/>
  <c r="D47" i="19"/>
  <c r="E46" i="19"/>
  <c r="D46" i="19"/>
  <c r="G42" i="19"/>
  <c r="G41" i="19"/>
  <c r="G40" i="19"/>
  <c r="G39" i="19"/>
  <c r="G33" i="19"/>
  <c r="Q48" i="21" s="1"/>
  <c r="G32" i="19"/>
  <c r="G31" i="19"/>
  <c r="G30" i="19"/>
  <c r="Q43" i="21" s="1"/>
  <c r="D24" i="19"/>
  <c r="E24" i="19" s="1"/>
  <c r="E11" i="19"/>
  <c r="E10" i="19"/>
  <c r="E9" i="19"/>
  <c r="F9" i="19" s="1"/>
  <c r="H57" i="7"/>
  <c r="H56" i="7"/>
  <c r="H55" i="7"/>
  <c r="H54" i="7"/>
  <c r="G50" i="7"/>
  <c r="E50" i="7"/>
  <c r="C50" i="7"/>
  <c r="B50" i="7"/>
  <c r="E49" i="7"/>
  <c r="D49" i="7"/>
  <c r="H48" i="7"/>
  <c r="E48" i="7"/>
  <c r="D48" i="7"/>
  <c r="E47" i="7"/>
  <c r="D47" i="7"/>
  <c r="E46" i="7"/>
  <c r="D46" i="7"/>
  <c r="G42" i="7"/>
  <c r="G41" i="7"/>
  <c r="G40" i="7"/>
  <c r="G39" i="7"/>
  <c r="G33" i="7"/>
  <c r="Q48" i="1" s="1"/>
  <c r="G32" i="7"/>
  <c r="G31" i="7"/>
  <c r="G30" i="7"/>
  <c r="Q43" i="1" s="1"/>
  <c r="D24" i="7"/>
  <c r="E24" i="7" s="1"/>
  <c r="E11" i="7"/>
  <c r="E10" i="7"/>
  <c r="E9" i="7"/>
  <c r="F9" i="7" s="1"/>
  <c r="V12" i="1"/>
  <c r="V12" i="21" s="1"/>
  <c r="E9" i="15" l="1"/>
  <c r="F9" i="15" s="1"/>
  <c r="F10" i="15" s="1"/>
  <c r="F11" i="15" s="1"/>
  <c r="E10" i="15"/>
  <c r="E13" i="15"/>
  <c r="E15" i="15"/>
  <c r="E17" i="15"/>
  <c r="E19" i="15"/>
  <c r="E21" i="15"/>
  <c r="C42" i="12"/>
  <c r="E42" i="12" s="1"/>
  <c r="B13" i="12"/>
  <c r="B19" i="12" s="1"/>
  <c r="B28" i="12" s="1"/>
  <c r="D28" i="12" s="1"/>
  <c r="F28" i="12" s="1"/>
  <c r="B12" i="12"/>
  <c r="B18" i="12" s="1"/>
  <c r="B11" i="12"/>
  <c r="B17" i="12" s="1"/>
  <c r="B27" i="12" s="1"/>
  <c r="D27" i="12" s="1"/>
  <c r="F27" i="12" s="1"/>
  <c r="F23" i="21"/>
  <c r="F10" i="19"/>
  <c r="F26" i="21" s="1"/>
  <c r="F10" i="7"/>
  <c r="F11" i="7" s="1"/>
  <c r="F23" i="1"/>
  <c r="B6" i="24"/>
  <c r="B4" i="28"/>
  <c r="B6" i="27" s="1"/>
  <c r="B7" i="26" s="1"/>
  <c r="F9" i="29" s="1"/>
  <c r="H4" i="28"/>
  <c r="X4" i="25"/>
  <c r="H57" i="15"/>
  <c r="Q46" i="16" s="1"/>
  <c r="C65" i="26"/>
  <c r="H68" i="29" s="1"/>
  <c r="C32" i="27"/>
  <c r="D40" i="28"/>
  <c r="A40" i="28"/>
  <c r="A65" i="26"/>
  <c r="B68" i="29" s="1"/>
  <c r="A31" i="27"/>
  <c r="F11" i="10"/>
  <c r="F26" i="16"/>
  <c r="F26" i="13"/>
  <c r="F26" i="11"/>
  <c r="F23" i="11"/>
  <c r="H7" i="28"/>
  <c r="G8" i="24"/>
  <c r="G9" i="26" s="1"/>
  <c r="W12" i="29" s="1"/>
  <c r="H6" i="28"/>
  <c r="G7" i="24"/>
  <c r="G8" i="26" s="1"/>
  <c r="Y11" i="29" s="1"/>
  <c r="V12" i="11"/>
  <c r="G6" i="24"/>
  <c r="F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F26" i="1"/>
  <c r="E12" i="7"/>
  <c r="E13" i="7"/>
  <c r="E14" i="7"/>
  <c r="E15" i="7"/>
  <c r="E16" i="7"/>
  <c r="E17" i="7"/>
  <c r="E18" i="7"/>
  <c r="E19" i="7"/>
  <c r="E20" i="7"/>
  <c r="E21" i="7"/>
  <c r="E22" i="7"/>
  <c r="E23" i="7"/>
  <c r="B16" i="12"/>
  <c r="B26" i="12" s="1"/>
  <c r="D26" i="12" s="1"/>
  <c r="F26" i="12" s="1"/>
  <c r="L18" i="25"/>
  <c r="M18" i="25" s="1"/>
  <c r="L19" i="25"/>
  <c r="M19" i="25" s="1"/>
  <c r="L14" i="25"/>
  <c r="M14" i="25" s="1"/>
  <c r="L15" i="25"/>
  <c r="M15" i="25" s="1"/>
  <c r="L16" i="25"/>
  <c r="M16" i="25" s="1"/>
  <c r="L20" i="25"/>
  <c r="M20" i="25" s="1"/>
  <c r="L24" i="25"/>
  <c r="M24" i="25" s="1"/>
  <c r="K11" i="25"/>
  <c r="L11" i="25" s="1"/>
  <c r="M11" i="25" s="1"/>
  <c r="E11" i="25"/>
  <c r="AB13" i="25"/>
  <c r="G14" i="27" s="1"/>
  <c r="L26" i="25"/>
  <c r="M26" i="25" s="1"/>
  <c r="C29" i="12"/>
  <c r="AB25" i="25"/>
  <c r="AB17" i="25"/>
  <c r="G16" i="27" s="1"/>
  <c r="X33" i="25"/>
  <c r="F24" i="27" s="1"/>
  <c r="X29" i="25"/>
  <c r="X25" i="25"/>
  <c r="X21" i="25"/>
  <c r="F18" i="27" s="1"/>
  <c r="X17" i="25"/>
  <c r="F16" i="27" s="1"/>
  <c r="X13" i="25"/>
  <c r="L10" i="25"/>
  <c r="M10" i="25" s="1"/>
  <c r="P10" i="25" s="1"/>
  <c r="L12" i="25"/>
  <c r="M12" i="25" s="1"/>
  <c r="P12" i="25" s="1"/>
  <c r="L32" i="25"/>
  <c r="M32" i="25" s="1"/>
  <c r="L31" i="25"/>
  <c r="M31" i="25" s="1"/>
  <c r="L30" i="25"/>
  <c r="M30" i="25" s="1"/>
  <c r="L28" i="25"/>
  <c r="M28" i="25" s="1"/>
  <c r="L27" i="25"/>
  <c r="M27" i="25" s="1"/>
  <c r="L23" i="25"/>
  <c r="M23" i="25" s="1"/>
  <c r="L22" i="25"/>
  <c r="M22" i="25" s="1"/>
  <c r="P11" i="25" l="1"/>
  <c r="O10" i="25"/>
  <c r="Q10" i="25" s="1"/>
  <c r="F22" i="27"/>
  <c r="R54" i="29"/>
  <c r="F29" i="12"/>
  <c r="D29" i="12"/>
  <c r="A10" i="25"/>
  <c r="A11" i="25" s="1"/>
  <c r="A12" i="25" s="1"/>
  <c r="A14" i="25" s="1"/>
  <c r="A15" i="25" s="1"/>
  <c r="A16" i="25" s="1"/>
  <c r="A18" i="25" s="1"/>
  <c r="A19" i="25" s="1"/>
  <c r="A20" i="25" s="1"/>
  <c r="A22" i="25" s="1"/>
  <c r="A23" i="25" s="1"/>
  <c r="A24" i="25" s="1"/>
  <c r="A26" i="25" s="1"/>
  <c r="A27" i="25" s="1"/>
  <c r="A28" i="25" s="1"/>
  <c r="A30" i="25" s="1"/>
  <c r="A31" i="25" s="1"/>
  <c r="A32" i="25" s="1"/>
  <c r="AB4" i="25" s="1"/>
  <c r="V10" i="29" s="1"/>
  <c r="F27" i="16"/>
  <c r="F27" i="13"/>
  <c r="F27" i="11"/>
  <c r="F12" i="10"/>
  <c r="D12" i="12" s="1"/>
  <c r="D18" i="12" s="1"/>
  <c r="F27" i="21"/>
  <c r="F12" i="19"/>
  <c r="F27" i="1"/>
  <c r="F12" i="7"/>
  <c r="M21" i="25"/>
  <c r="M17" i="25"/>
  <c r="O11" i="25"/>
  <c r="F20" i="27"/>
  <c r="G20" i="27"/>
  <c r="R55" i="29"/>
  <c r="F14" i="27"/>
  <c r="M29" i="25"/>
  <c r="P29" i="25" s="1"/>
  <c r="M13" i="25"/>
  <c r="O12" i="25"/>
  <c r="Q12" i="25" s="1"/>
  <c r="R12" i="25"/>
  <c r="R11" i="25"/>
  <c r="M33" i="25"/>
  <c r="C24" i="27" s="1"/>
  <c r="M25" i="25"/>
  <c r="P25" i="25" s="1"/>
  <c r="Q11" i="25" l="1"/>
  <c r="C14" i="27"/>
  <c r="P13" i="25"/>
  <c r="C18" i="27"/>
  <c r="P21" i="25"/>
  <c r="C16" i="27"/>
  <c r="P17" i="25"/>
  <c r="F28" i="11"/>
  <c r="D13" i="12"/>
  <c r="D19" i="12" s="1"/>
  <c r="F13" i="10"/>
  <c r="E12" i="12" s="1"/>
  <c r="E18" i="12" s="1"/>
  <c r="F28" i="21"/>
  <c r="D11" i="12"/>
  <c r="D17" i="12" s="1"/>
  <c r="F13" i="19"/>
  <c r="F28" i="1"/>
  <c r="D10" i="12"/>
  <c r="D16" i="12" s="1"/>
  <c r="F13" i="7"/>
  <c r="C22" i="27"/>
  <c r="R53" i="29"/>
  <c r="R10" i="25"/>
  <c r="R13" i="25" s="1"/>
  <c r="E14" i="27" s="1"/>
  <c r="S11" i="25"/>
  <c r="S12" i="25"/>
  <c r="C20" i="27"/>
  <c r="Q13" i="25"/>
  <c r="D14" i="27" s="1"/>
  <c r="S10" i="25" l="1"/>
  <c r="S13" i="25" s="1"/>
  <c r="D21" i="12"/>
  <c r="F29" i="11"/>
  <c r="E13" i="12"/>
  <c r="E19" i="12" s="1"/>
  <c r="F14" i="10"/>
  <c r="F12" i="12" s="1"/>
  <c r="F18" i="12" s="1"/>
  <c r="E11" i="12"/>
  <c r="E17" i="12" s="1"/>
  <c r="F29" i="21"/>
  <c r="F14" i="19"/>
  <c r="E10" i="12"/>
  <c r="E16" i="12" s="1"/>
  <c r="F29" i="1"/>
  <c r="F14" i="7"/>
  <c r="F28" i="13" l="1"/>
  <c r="F12" i="15"/>
  <c r="F28" i="16" s="1"/>
  <c r="G31" i="29" s="1"/>
  <c r="E21" i="12"/>
  <c r="F30" i="11"/>
  <c r="F13" i="12"/>
  <c r="F19" i="12" s="1"/>
  <c r="F15" i="10"/>
  <c r="G12" i="12" s="1"/>
  <c r="G18" i="12" s="1"/>
  <c r="F30" i="21"/>
  <c r="F11" i="12"/>
  <c r="F17" i="12" s="1"/>
  <c r="F15" i="19"/>
  <c r="F30" i="1"/>
  <c r="F10" i="12"/>
  <c r="F16" i="12" s="1"/>
  <c r="F15" i="7"/>
  <c r="M25" i="12" l="1"/>
  <c r="F29" i="13"/>
  <c r="F13" i="15"/>
  <c r="F29" i="16" s="1"/>
  <c r="G32" i="29" s="1"/>
  <c r="F31" i="11"/>
  <c r="G13" i="12"/>
  <c r="G19" i="12" s="1"/>
  <c r="F16" i="10"/>
  <c r="H12" i="12" s="1"/>
  <c r="H18" i="12" s="1"/>
  <c r="F21" i="12"/>
  <c r="G11" i="12"/>
  <c r="G17" i="12" s="1"/>
  <c r="F31" i="21"/>
  <c r="F16" i="19"/>
  <c r="F30" i="13"/>
  <c r="G10" i="12"/>
  <c r="G16" i="12" s="1"/>
  <c r="F31" i="1"/>
  <c r="F16" i="7"/>
  <c r="F36" i="12" l="1"/>
  <c r="F37" i="12" s="1"/>
  <c r="F38" i="12" s="1"/>
  <c r="F32" i="11"/>
  <c r="H13" i="12"/>
  <c r="H19" i="12" s="1"/>
  <c r="F17" i="10"/>
  <c r="F14" i="15"/>
  <c r="F30" i="16" s="1"/>
  <c r="G33" i="29" s="1"/>
  <c r="G21" i="12"/>
  <c r="F32" i="21"/>
  <c r="H11" i="12"/>
  <c r="H17" i="12" s="1"/>
  <c r="F17" i="19"/>
  <c r="F32" i="1"/>
  <c r="H10" i="12"/>
  <c r="H16" i="12" s="1"/>
  <c r="F17" i="7"/>
  <c r="B16" i="27"/>
  <c r="B20" i="27" s="1"/>
  <c r="B22" i="27" s="1"/>
  <c r="B24" i="27" s="1"/>
  <c r="C26" i="25"/>
  <c r="H53" i="29" s="1"/>
  <c r="C18" i="25"/>
  <c r="C30" i="25"/>
  <c r="C22" i="25"/>
  <c r="C11" i="25"/>
  <c r="N12" i="25"/>
  <c r="N11" i="25"/>
  <c r="N10" i="25"/>
  <c r="I12" i="12" l="1"/>
  <c r="I18" i="12" s="1"/>
  <c r="F18" i="10"/>
  <c r="F19" i="10" s="1"/>
  <c r="F20" i="10" s="1"/>
  <c r="F21" i="10" s="1"/>
  <c r="F22" i="10" s="1"/>
  <c r="F23" i="10" s="1"/>
  <c r="F24" i="10" s="1"/>
  <c r="F15" i="15"/>
  <c r="F31" i="16" s="1"/>
  <c r="G34" i="29" s="1"/>
  <c r="G36" i="12"/>
  <c r="G37" i="12" s="1"/>
  <c r="G38" i="12" s="1"/>
  <c r="F31" i="13"/>
  <c r="F33" i="11"/>
  <c r="J12" i="12"/>
  <c r="J18" i="12" s="1"/>
  <c r="I13" i="12"/>
  <c r="I19" i="12" s="1"/>
  <c r="H21" i="12"/>
  <c r="F16" i="15" s="1"/>
  <c r="F32" i="16" s="1"/>
  <c r="G35" i="29" s="1"/>
  <c r="I11" i="12"/>
  <c r="I17" i="12" s="1"/>
  <c r="F33" i="21"/>
  <c r="F18" i="19"/>
  <c r="I10" i="12"/>
  <c r="I16" i="12" s="1"/>
  <c r="F33" i="1"/>
  <c r="F18" i="7"/>
  <c r="D22" i="25"/>
  <c r="E22" i="25" s="1"/>
  <c r="P22" i="25" s="1"/>
  <c r="D18" i="25"/>
  <c r="E18" i="25" s="1"/>
  <c r="P18" i="25" s="1"/>
  <c r="C19" i="25"/>
  <c r="C31" i="25"/>
  <c r="D31" i="25" s="1"/>
  <c r="E31" i="25" s="1"/>
  <c r="P31" i="25" s="1"/>
  <c r="C23" i="25"/>
  <c r="D23" i="25" s="1"/>
  <c r="E23" i="25" s="1"/>
  <c r="P23" i="25" s="1"/>
  <c r="C27" i="25"/>
  <c r="D27" i="25" s="1"/>
  <c r="E27" i="25" s="1"/>
  <c r="P27" i="25" s="1"/>
  <c r="C14" i="25"/>
  <c r="C12" i="25"/>
  <c r="D30" i="25"/>
  <c r="E30" i="25" s="1"/>
  <c r="P30" i="25" s="1"/>
  <c r="D26" i="25"/>
  <c r="E26" i="25" s="1"/>
  <c r="P26" i="25" s="1"/>
  <c r="H36" i="12" l="1"/>
  <c r="H37" i="12" s="1"/>
  <c r="H38" i="12" s="1"/>
  <c r="F34" i="11"/>
  <c r="K12" i="12"/>
  <c r="K18" i="12" s="1"/>
  <c r="J13" i="12"/>
  <c r="J19" i="12" s="1"/>
  <c r="F32" i="13"/>
  <c r="I21" i="12"/>
  <c r="F34" i="21"/>
  <c r="J11" i="12"/>
  <c r="J17" i="12" s="1"/>
  <c r="F19" i="19"/>
  <c r="F34" i="1"/>
  <c r="J10" i="12"/>
  <c r="J16" i="12" s="1"/>
  <c r="F19" i="7"/>
  <c r="AB60" i="29"/>
  <c r="O26" i="25"/>
  <c r="O30" i="25"/>
  <c r="C16" i="25"/>
  <c r="D16" i="25" s="1"/>
  <c r="E16" i="25" s="1"/>
  <c r="P16" i="25" s="1"/>
  <c r="D14" i="25"/>
  <c r="E14" i="25" s="1"/>
  <c r="P14" i="25" s="1"/>
  <c r="C15" i="25"/>
  <c r="D15" i="25" s="1"/>
  <c r="E15" i="25" s="1"/>
  <c r="P15" i="25" s="1"/>
  <c r="O23" i="25"/>
  <c r="D19" i="25"/>
  <c r="E19" i="25" s="1"/>
  <c r="P19" i="25" s="1"/>
  <c r="C20" i="25"/>
  <c r="D20" i="25" s="1"/>
  <c r="E20" i="25" s="1"/>
  <c r="P20" i="25" s="1"/>
  <c r="C24" i="25"/>
  <c r="D24" i="25" s="1"/>
  <c r="E24" i="25" s="1"/>
  <c r="P24" i="25" s="1"/>
  <c r="C32" i="25"/>
  <c r="D32" i="25" s="1"/>
  <c r="E32" i="25" s="1"/>
  <c r="P32" i="25" s="1"/>
  <c r="C28" i="25"/>
  <c r="D28" i="25" s="1"/>
  <c r="E28" i="25" s="1"/>
  <c r="P28" i="25" s="1"/>
  <c r="O27" i="25"/>
  <c r="O31" i="25"/>
  <c r="O18" i="25"/>
  <c r="O22" i="25"/>
  <c r="F33" i="13" l="1"/>
  <c r="M26" i="12"/>
  <c r="F17" i="15"/>
  <c r="F33" i="16" s="1"/>
  <c r="G36" i="29" s="1"/>
  <c r="I36" i="12"/>
  <c r="I37" i="12" s="1"/>
  <c r="I38" i="12" s="1"/>
  <c r="F35" i="11"/>
  <c r="L12" i="12"/>
  <c r="L18" i="12" s="1"/>
  <c r="K13" i="12"/>
  <c r="K19" i="12" s="1"/>
  <c r="J21" i="12"/>
  <c r="K11" i="12"/>
  <c r="K17" i="12" s="1"/>
  <c r="F35" i="21"/>
  <c r="F20" i="19"/>
  <c r="K10" i="12"/>
  <c r="K16" i="12" s="1"/>
  <c r="F35" i="1"/>
  <c r="F20" i="7"/>
  <c r="Q31" i="25"/>
  <c r="Q27" i="25"/>
  <c r="Q23" i="25"/>
  <c r="Q22" i="25"/>
  <c r="Q18" i="25"/>
  <c r="O28" i="25"/>
  <c r="O24" i="25"/>
  <c r="O19" i="25"/>
  <c r="O15" i="25"/>
  <c r="O16" i="25"/>
  <c r="Q30" i="25"/>
  <c r="R26" i="25"/>
  <c r="S26" i="25" s="1"/>
  <c r="N26" i="25"/>
  <c r="R22" i="25"/>
  <c r="S22" i="25" s="1"/>
  <c r="N22" i="25"/>
  <c r="R18" i="25"/>
  <c r="N18" i="25"/>
  <c r="R31" i="25"/>
  <c r="S31" i="25" s="1"/>
  <c r="N31" i="25"/>
  <c r="R27" i="25"/>
  <c r="S27" i="25" s="1"/>
  <c r="N27" i="25"/>
  <c r="O32" i="25"/>
  <c r="O20" i="25"/>
  <c r="R23" i="25"/>
  <c r="S23" i="25" s="1"/>
  <c r="N23" i="25"/>
  <c r="O14" i="25"/>
  <c r="R30" i="25"/>
  <c r="S30" i="25" s="1"/>
  <c r="N30" i="25"/>
  <c r="Q26" i="25"/>
  <c r="K21" i="12" l="1"/>
  <c r="F34" i="13"/>
  <c r="J36" i="12"/>
  <c r="J37" i="12" s="1"/>
  <c r="J38" i="12" s="1"/>
  <c r="M12" i="12"/>
  <c r="M18" i="12" s="1"/>
  <c r="L13" i="12"/>
  <c r="L19" i="12" s="1"/>
  <c r="F36" i="11"/>
  <c r="F18" i="15"/>
  <c r="F34" i="16" s="1"/>
  <c r="G37" i="29" s="1"/>
  <c r="F36" i="21"/>
  <c r="L11" i="12"/>
  <c r="L17" i="12" s="1"/>
  <c r="F21" i="19"/>
  <c r="F36" i="1"/>
  <c r="L10" i="12"/>
  <c r="L16" i="12" s="1"/>
  <c r="F21" i="7"/>
  <c r="Q32" i="25"/>
  <c r="Q33" i="25" s="1"/>
  <c r="D24" i="27" s="1"/>
  <c r="Q28" i="25"/>
  <c r="Q29" i="25" s="1"/>
  <c r="Q14" i="25"/>
  <c r="R20" i="25"/>
  <c r="S20" i="25" s="1"/>
  <c r="N20" i="25"/>
  <c r="Q16" i="25"/>
  <c r="R15" i="25"/>
  <c r="S15" i="25" s="1"/>
  <c r="N15" i="25"/>
  <c r="N19" i="25"/>
  <c r="R19" i="25"/>
  <c r="S19" i="25" s="1"/>
  <c r="R24" i="25"/>
  <c r="S24" i="25" s="1"/>
  <c r="S25" i="25" s="1"/>
  <c r="N24" i="25"/>
  <c r="N14" i="25"/>
  <c r="R14" i="25"/>
  <c r="Q20" i="25"/>
  <c r="R32" i="25"/>
  <c r="S32" i="25" s="1"/>
  <c r="S33" i="25" s="1"/>
  <c r="N32" i="25"/>
  <c r="N16" i="25"/>
  <c r="R16" i="25"/>
  <c r="S16" i="25" s="1"/>
  <c r="Q15" i="25"/>
  <c r="Q19" i="25"/>
  <c r="Q24" i="25"/>
  <c r="R28" i="25"/>
  <c r="S28" i="25" s="1"/>
  <c r="S29" i="25" s="1"/>
  <c r="N28" i="25"/>
  <c r="S18" i="25"/>
  <c r="Q25" i="25"/>
  <c r="R25" i="25" l="1"/>
  <c r="R21" i="25"/>
  <c r="E18" i="27" s="1"/>
  <c r="L21" i="12"/>
  <c r="F35" i="13"/>
  <c r="K36" i="12"/>
  <c r="K37" i="12" s="1"/>
  <c r="K38" i="12" s="1"/>
  <c r="F37" i="11"/>
  <c r="N12" i="12"/>
  <c r="N18" i="12" s="1"/>
  <c r="M13" i="12"/>
  <c r="M19" i="12" s="1"/>
  <c r="F19" i="15"/>
  <c r="F35" i="16" s="1"/>
  <c r="G38" i="29" s="1"/>
  <c r="M11" i="12"/>
  <c r="M17" i="12" s="1"/>
  <c r="F37" i="21"/>
  <c r="F22" i="19"/>
  <c r="F20" i="15"/>
  <c r="F36" i="16" s="1"/>
  <c r="G39" i="29" s="1"/>
  <c r="M10" i="12"/>
  <c r="M16" i="12" s="1"/>
  <c r="F37" i="1"/>
  <c r="F22" i="7"/>
  <c r="D22" i="27"/>
  <c r="Q21" i="25"/>
  <c r="D18" i="27" s="1"/>
  <c r="S21" i="25"/>
  <c r="R29" i="25"/>
  <c r="Q17" i="25"/>
  <c r="D16" i="27" s="1"/>
  <c r="D20" i="27"/>
  <c r="R56" i="29"/>
  <c r="E20" i="27"/>
  <c r="R17" i="25"/>
  <c r="E16" i="27" s="1"/>
  <c r="R33" i="25"/>
  <c r="E24" i="27" s="1"/>
  <c r="S14" i="25"/>
  <c r="S17" i="25" s="1"/>
  <c r="M27" i="12" l="1"/>
  <c r="M21" i="12"/>
  <c r="F36" i="13"/>
  <c r="L36" i="12"/>
  <c r="L37" i="12" s="1"/>
  <c r="L38" i="12" s="1"/>
  <c r="O12" i="12"/>
  <c r="O18" i="12" s="1"/>
  <c r="N13" i="12"/>
  <c r="N19" i="12" s="1"/>
  <c r="F38" i="11"/>
  <c r="F38" i="21"/>
  <c r="N11" i="12"/>
  <c r="N17" i="12" s="1"/>
  <c r="F23" i="19"/>
  <c r="F38" i="1"/>
  <c r="N10" i="12"/>
  <c r="N16" i="12" s="1"/>
  <c r="F23" i="7"/>
  <c r="E22" i="27"/>
  <c r="R57" i="29"/>
  <c r="F21" i="15" l="1"/>
  <c r="F37" i="16" s="1"/>
  <c r="G40" i="29" s="1"/>
  <c r="M36" i="12"/>
  <c r="M37" i="12" s="1"/>
  <c r="M38" i="12" s="1"/>
  <c r="O13" i="12"/>
  <c r="O19" i="12" s="1"/>
  <c r="F39" i="11"/>
  <c r="F37" i="13"/>
  <c r="N21" i="12"/>
  <c r="F38" i="13" s="1"/>
  <c r="O11" i="12"/>
  <c r="O17" i="12" s="1"/>
  <c r="F24" i="19"/>
  <c r="F39" i="21"/>
  <c r="O10" i="12"/>
  <c r="O16" i="12" s="1"/>
  <c r="F24" i="7"/>
  <c r="F39" i="1"/>
  <c r="F22" i="15" l="1"/>
  <c r="F38" i="16" s="1"/>
  <c r="G41" i="29" s="1"/>
  <c r="N36" i="12"/>
  <c r="N37" i="12" s="1"/>
  <c r="N38" i="12" s="1"/>
  <c r="O21" i="12"/>
  <c r="F39" i="13" l="1"/>
  <c r="P21" i="12"/>
  <c r="M29" i="12" s="1"/>
  <c r="M28" i="12"/>
  <c r="O36" i="12"/>
  <c r="O37" i="12" s="1"/>
  <c r="O38" i="12" s="1"/>
  <c r="F23" i="15"/>
  <c r="F39" i="16" s="1"/>
  <c r="G42" i="29" s="1"/>
  <c r="M30" i="12" l="1"/>
  <c r="O25" i="12" s="1"/>
  <c r="P36" i="12"/>
  <c r="P37" i="12" s="1"/>
  <c r="P38" i="12" s="1"/>
  <c r="F24" i="15"/>
  <c r="O28" i="12" l="1"/>
  <c r="B46" i="12" s="1"/>
  <c r="B45" i="12" s="1"/>
  <c r="K34" i="10"/>
  <c r="B47" i="12" l="1"/>
  <c r="C47" i="12" s="1"/>
  <c r="E47" i="12" s="1"/>
  <c r="C46" i="12"/>
  <c r="E46" i="12" s="1"/>
  <c r="B44" i="12"/>
  <c r="C45" i="12"/>
  <c r="E45" i="12" s="1"/>
  <c r="E44" i="12"/>
  <c r="B48" i="12" l="1"/>
  <c r="C48" i="12" s="1"/>
  <c r="E48" i="12" s="1"/>
</calcChain>
</file>

<file path=xl/sharedStrings.xml><?xml version="1.0" encoding="utf-8"?>
<sst xmlns="http://schemas.openxmlformats.org/spreadsheetml/2006/main" count="1198" uniqueCount="478">
  <si>
    <t>ENSAYE No.</t>
  </si>
  <si>
    <t>FECHA DE RECIBO</t>
  </si>
  <si>
    <t>FECHA DE INF.</t>
  </si>
  <si>
    <t>DATOS DEL MUESTREO</t>
  </si>
  <si>
    <t>DESCRIPCIÓN DEL MATERIAL</t>
  </si>
  <si>
    <t>PARA USARSE EN</t>
  </si>
  <si>
    <t>TRATAMIENTO PREVIO AL MUESTREO</t>
  </si>
  <si>
    <t>CLASE DE DEPOSITO MUESTREADO</t>
  </si>
  <si>
    <t>MALLAS</t>
  </si>
  <si>
    <t>90 A 100</t>
  </si>
  <si>
    <t>OBSERVACIONES Y RECOMENDACIONES:</t>
  </si>
  <si>
    <t xml:space="preserve">        LABORATORISTA</t>
  </si>
  <si>
    <t>JEFE DE LABORATORIO</t>
  </si>
  <si>
    <t>F-LAS-EAT-A01</t>
  </si>
  <si>
    <t>OBRA Y LOCALIZACION</t>
  </si>
  <si>
    <t>INFORME DE CALIDAD DE EL MATERIAL PETREO</t>
  </si>
  <si>
    <t>ABERTURA EN MM</t>
  </si>
  <si>
    <t>DESIGNACION</t>
  </si>
  <si>
    <t>2"</t>
  </si>
  <si>
    <t>1 1/2"</t>
  </si>
  <si>
    <t>1"</t>
  </si>
  <si>
    <t>3/4"</t>
  </si>
  <si>
    <t>1/2"</t>
  </si>
  <si>
    <t>3/8"</t>
  </si>
  <si>
    <t>1/4"</t>
  </si>
  <si>
    <t>No. 4</t>
  </si>
  <si>
    <t>No. 10</t>
  </si>
  <si>
    <t>No. 20</t>
  </si>
  <si>
    <t>No. 40</t>
  </si>
  <si>
    <t>No. 60</t>
  </si>
  <si>
    <t>No. 100</t>
  </si>
  <si>
    <t>No. 200</t>
  </si>
  <si>
    <t>TAMAÑO NOMINAL DEL MATERIAL PETREO MM (IN)</t>
  </si>
  <si>
    <t>% QUE PASA</t>
  </si>
  <si>
    <t>ENSAYO</t>
  </si>
  <si>
    <t>PROYECTO</t>
  </si>
  <si>
    <t>PORCENTAJE QUE PASA</t>
  </si>
  <si>
    <t>TAMAÑO DE LA PARTICULA EN MM</t>
  </si>
  <si>
    <t>CARACTERISTICAS DE EL MATERIAL PETREO</t>
  </si>
  <si>
    <t>DENSIDAD RELATIVA, MINIMO</t>
  </si>
  <si>
    <t>DESGASTE DE LOS ANGELES; %, MAXIMO</t>
  </si>
  <si>
    <t>PARTICULAS ALARGADAS Y LAJEADAS; % MAXIMO</t>
  </si>
  <si>
    <t>EQUIVALENTE DE ARENA; % MINIMO</t>
  </si>
  <si>
    <t>PERDIDA POR ESTABILIDAD POR IMERSION EN AGUA; % MAXIMO</t>
  </si>
  <si>
    <t>N-CMT-4-04/08</t>
  </si>
  <si>
    <t>CARACTERISTICA</t>
  </si>
  <si>
    <t>EQUIVALENTE DE ARENA</t>
  </si>
  <si>
    <t>REQUISITO</t>
  </si>
  <si>
    <t>GRANLOMETRIA DENSA TAMAÑO NOMINAL 19.00 MM (CUALQUIER VALOR)</t>
  </si>
  <si>
    <t>UBICACIÓN DEL BANCO DE DONDE PROCEDE EL MUESTREO</t>
  </si>
  <si>
    <t>MEZCLA</t>
  </si>
  <si>
    <t>TRITURACION TOTAL</t>
  </si>
  <si>
    <r>
      <t>P. E. SECO SUELTO KM/CM</t>
    </r>
    <r>
      <rPr>
        <vertAlign val="superscript"/>
        <sz val="11"/>
        <rFont val="Calibri"/>
        <family val="2"/>
        <scheme val="minor"/>
      </rPr>
      <t>2</t>
    </r>
  </si>
  <si>
    <t>ABSORCION %</t>
  </si>
  <si>
    <t>TRITURACION %</t>
  </si>
  <si>
    <t>ADICIONALES</t>
  </si>
  <si>
    <t>HOJA DE TRABAJO PARA MATERIALES PETEROS</t>
  </si>
  <si>
    <t>MUESTREO</t>
  </si>
  <si>
    <t>FECHA DE INFORME</t>
  </si>
  <si>
    <t>ANALISIS GRANULOMETRICO</t>
  </si>
  <si>
    <t>Malla</t>
  </si>
  <si>
    <t>Abertura</t>
  </si>
  <si>
    <t>Abertura ^ 0.45</t>
  </si>
  <si>
    <t>Peso  retenido</t>
  </si>
  <si>
    <t>Porciento retenido parcial</t>
  </si>
  <si>
    <t>Porciento que  pasa</t>
  </si>
  <si>
    <t>OBSERVACIONES GENERALES:</t>
  </si>
  <si>
    <t>No.</t>
  </si>
  <si>
    <t>mm</t>
  </si>
  <si>
    <t>g</t>
  </si>
  <si>
    <t>%</t>
  </si>
  <si>
    <t>Volumen:</t>
  </si>
  <si>
    <t>2 1/2 in</t>
  </si>
  <si>
    <t>Tara:</t>
  </si>
  <si>
    <t>2 in</t>
  </si>
  <si>
    <t>Peso cubo</t>
  </si>
  <si>
    <t>1 1/2 in</t>
  </si>
  <si>
    <t>P.V.S.S.</t>
  </si>
  <si>
    <t>1 in</t>
  </si>
  <si>
    <t>3/4 in</t>
  </si>
  <si>
    <t>1/2 in</t>
  </si>
  <si>
    <t>3/8 in</t>
  </si>
  <si>
    <t>1/4 in</t>
  </si>
  <si>
    <t>No.10</t>
  </si>
  <si>
    <t>No.20</t>
  </si>
  <si>
    <t>REALIZO:</t>
  </si>
  <si>
    <t>Pasa No. 200</t>
  </si>
  <si>
    <t>---</t>
  </si>
  <si>
    <t>Suma</t>
  </si>
  <si>
    <t>DENSIDAD Y ABSORCION DEL AGREGADO GRUESO</t>
  </si>
  <si>
    <t>RESULTADO</t>
  </si>
  <si>
    <t xml:space="preserve">Masa de la muestra ensayada secada al horno, g   </t>
  </si>
  <si>
    <t>a</t>
  </si>
  <si>
    <t xml:space="preserve">Masa de la muestra saturada superficialmente seca, g   </t>
  </si>
  <si>
    <t>b</t>
  </si>
  <si>
    <t xml:space="preserve">Masa aparente en agua de la muestra saturada, g   </t>
  </si>
  <si>
    <t>c</t>
  </si>
  <si>
    <t xml:space="preserve">Densidad relativa seca al horno (SH)  </t>
  </si>
  <si>
    <t xml:space="preserve">Densidad relativa saturada y superficialmente seca (SSS)  </t>
  </si>
  <si>
    <t xml:space="preserve">Densidad relativa aparente   </t>
  </si>
  <si>
    <t>% Absorción</t>
  </si>
  <si>
    <t>DENSIDAD Y ABSORCION DEL AGREGADO FINO</t>
  </si>
  <si>
    <t>Masa del matraz + agua, g</t>
  </si>
  <si>
    <t>Masa del matraz + agua + muestra, g</t>
  </si>
  <si>
    <t>Masa del material saturado y superficialmente seco, g</t>
  </si>
  <si>
    <t>s</t>
  </si>
  <si>
    <t>PARTICULAS ANGULOSAS</t>
  </si>
  <si>
    <t>DESGASTE LOS ANGELES</t>
  </si>
  <si>
    <t>Malla (mm)</t>
  </si>
  <si>
    <t>Masa [g]</t>
  </si>
  <si>
    <t>Masas individuales [g]</t>
  </si>
  <si>
    <t>Porcentaje [%]</t>
  </si>
  <si>
    <t>Tamaño de agregado [mm]</t>
  </si>
  <si>
    <t>9,5 a 4,75</t>
  </si>
  <si>
    <t>Planas y Alargadas</t>
  </si>
  <si>
    <t>Ni planas, Ni alargadas</t>
  </si>
  <si>
    <t>Masa inicial [g]</t>
  </si>
  <si>
    <t>Masa final [g]</t>
  </si>
  <si>
    <t>% Desgaste</t>
  </si>
  <si>
    <t>Resultado</t>
  </si>
  <si>
    <t>N° Probeta</t>
  </si>
  <si>
    <r>
      <t>1</t>
    </r>
    <r>
      <rPr>
        <vertAlign val="superscript"/>
        <sz val="9"/>
        <color theme="1"/>
        <rFont val="Calibri"/>
        <family val="2"/>
        <scheme val="minor"/>
      </rPr>
      <t>er</t>
    </r>
    <r>
      <rPr>
        <sz val="9"/>
        <color theme="1"/>
        <rFont val="Calibri"/>
        <family val="2"/>
        <scheme val="minor"/>
      </rPr>
      <t xml:space="preserve"> ciclo de reposo</t>
    </r>
  </si>
  <si>
    <r>
      <t>2</t>
    </r>
    <r>
      <rPr>
        <vertAlign val="superscript"/>
        <sz val="9"/>
        <color theme="1"/>
        <rFont val="Calibri"/>
        <family val="2"/>
        <scheme val="minor"/>
      </rPr>
      <t>do</t>
    </r>
    <r>
      <rPr>
        <sz val="9"/>
        <color theme="1"/>
        <rFont val="Calibri"/>
        <family val="2"/>
        <scheme val="minor"/>
      </rPr>
      <t xml:space="preserve"> ciclo de reposo</t>
    </r>
  </si>
  <si>
    <t>Lecturas</t>
  </si>
  <si>
    <t>% E.A</t>
  </si>
  <si>
    <t>Hora inicial</t>
  </si>
  <si>
    <t>Hora final</t>
  </si>
  <si>
    <t>Arena</t>
  </si>
  <si>
    <t>Arcilla</t>
  </si>
  <si>
    <t>Promedio:</t>
  </si>
  <si>
    <t>CALCULO DEL CONTENIDO MINIMO POR CUBRIR DE ASFALTO POR EL METODO MARSHALL</t>
  </si>
  <si>
    <t>MATERIAL</t>
  </si>
  <si>
    <t>P. VOL.</t>
  </si>
  <si>
    <t>% RECOMENDADO</t>
  </si>
  <si>
    <t>GRANULOMETRIA DE LOS MATERIALES A EMPLEAR EN % QUE PASA</t>
  </si>
  <si>
    <t>A</t>
  </si>
  <si>
    <t>B</t>
  </si>
  <si>
    <t>C</t>
  </si>
  <si>
    <t>ABSORCION</t>
  </si>
  <si>
    <t>DENSIDAD</t>
  </si>
  <si>
    <t>TOLERANCIA DE PROYECTO</t>
  </si>
  <si>
    <t>MEZCLA RESULTANTE</t>
  </si>
  <si>
    <t>MEZCLA TEORICA EN PESO</t>
  </si>
  <si>
    <t>CONTENIDO MINIMO APROXIMADO</t>
  </si>
  <si>
    <t>P. VOL. KG/M3</t>
  </si>
  <si>
    <t>% TEORICO</t>
  </si>
  <si>
    <t>P. EN KGS.</t>
  </si>
  <si>
    <t>PASA</t>
  </si>
  <si>
    <t>K</t>
  </si>
  <si>
    <t>AREA SUPERFICIAL</t>
  </si>
  <si>
    <t xml:space="preserve">MEZCLA   </t>
  </si>
  <si>
    <t xml:space="preserve"> ELABORACION DE MEZCLA DE PETREOS PARA PROBETAS </t>
  </si>
  <si>
    <t>PESO APROX. PROB. GRS.</t>
  </si>
  <si>
    <t>ALTURA MM</t>
  </si>
  <si>
    <t>PROBETAS</t>
  </si>
  <si>
    <t>RETENIDO MALLAS</t>
  </si>
  <si>
    <t>NO. MALLAS</t>
  </si>
  <si>
    <t>P 200</t>
  </si>
  <si>
    <t>RETENIDO EN % (1)</t>
  </si>
  <si>
    <t>RETENIDO EN GRS. (1)</t>
  </si>
  <si>
    <t>ELABORACION DE PROBETAS CON C.A.</t>
  </si>
  <si>
    <t>PESO MAT.</t>
  </si>
  <si>
    <t>% C.A.</t>
  </si>
  <si>
    <t>PESO C.A. GRS.</t>
  </si>
  <si>
    <t>P. MAT. + C.A.</t>
  </si>
  <si>
    <t>LABORATORISTA</t>
  </si>
  <si>
    <t>3/4"-1/2"</t>
  </si>
  <si>
    <t>1/2"-3/8"</t>
  </si>
  <si>
    <t>1"-3/4"</t>
  </si>
  <si>
    <t>3/8"-1/4"</t>
  </si>
  <si>
    <t xml:space="preserve">KGS.  </t>
  </si>
  <si>
    <t>% CONT. MIN. REQUERIDO</t>
  </si>
  <si>
    <t>% PARA FINES PRACTICOS</t>
  </si>
  <si>
    <t>SUPERFICIE ESPESIFICA</t>
  </si>
  <si>
    <t>6.3 mm</t>
  </si>
  <si>
    <t>SE REPORTAN RESULTADOS DE ARENAS DE 1/4" A FINOS</t>
  </si>
  <si>
    <t>D</t>
  </si>
  <si>
    <t>S</t>
  </si>
  <si>
    <t>I</t>
  </si>
  <si>
    <t>MEZCLA TEORICA PARTICIPANDO 50 % DE GRAVA 3/4" ,30% DE GRAVA DE 3/8" Y 20 % DE ARENAS</t>
  </si>
  <si>
    <t>INDICE ASFALTICO</t>
  </si>
  <si>
    <t>RETIENE</t>
  </si>
  <si>
    <t>RETENIDO %</t>
  </si>
  <si>
    <t>INFORME DE CALIDAD DE ASFALTOS</t>
  </si>
  <si>
    <t>NIT- SCT N-CMT-4-05-001/06</t>
  </si>
  <si>
    <t>OBRA  Y  LOCALIZACION</t>
  </si>
  <si>
    <t>ENSAYE N°</t>
  </si>
  <si>
    <t>FABRICA DE DONDE PROCEDE EL ASFALTO</t>
  </si>
  <si>
    <t>TIPO DE ASFALTO INDICADO EN LA REMISION</t>
  </si>
  <si>
    <t>DEPOSITOS MUESTREADOS</t>
  </si>
  <si>
    <t>ASAFLTO PARA UTILIZARSE EN</t>
  </si>
  <si>
    <t>ELABORACIÓN DE CARPETA ASFALTICA</t>
  </si>
  <si>
    <t>ENSAYES</t>
  </si>
  <si>
    <t>RESULTADOS</t>
  </si>
  <si>
    <t>ESPECIFICACIONES</t>
  </si>
  <si>
    <t>DEL ASFALTO ORIGINAL</t>
  </si>
  <si>
    <t>VISCOSIDAD DINAMICA A 60° C</t>
  </si>
  <si>
    <t>160 A 240</t>
  </si>
  <si>
    <t>VISCOSIDAD CINEMATICA A 135° C</t>
  </si>
  <si>
    <t>300 MINIMO</t>
  </si>
  <si>
    <t>VISCOSIDAD SAYBOLT-FUROL A 135° C</t>
  </si>
  <si>
    <t>120 MINIMO</t>
  </si>
  <si>
    <r>
      <t>PENETRACION A 25° C , EN 100 G Y 5 S;10</t>
    </r>
    <r>
      <rPr>
        <vertAlign val="superscript"/>
        <sz val="8"/>
        <rFont val="Arial"/>
        <family val="2"/>
      </rPr>
      <t>-1</t>
    </r>
    <r>
      <rPr>
        <sz val="8"/>
        <rFont val="Arial"/>
        <family val="2"/>
      </rPr>
      <t xml:space="preserve"> MM</t>
    </r>
  </si>
  <si>
    <t>60 MINIMO</t>
  </si>
  <si>
    <t>PUNTO DE INFLAMACION CLEVELAND ° C</t>
  </si>
  <si>
    <t>232 MINIMO</t>
  </si>
  <si>
    <t xml:space="preserve">SOLUBILIDAD; %, </t>
  </si>
  <si>
    <t>99 MINIMO</t>
  </si>
  <si>
    <t>PUNTO DE REBLANDECIMIENTO ° C</t>
  </si>
  <si>
    <t>48-56</t>
  </si>
  <si>
    <t>DEL RESIDUO DE LA PELICULA DELGADA</t>
  </si>
  <si>
    <t>PERDIDA POR CALENTAMIENTO EN %</t>
  </si>
  <si>
    <t>0.5 MAXIMO</t>
  </si>
  <si>
    <t>800 MAXIMO</t>
  </si>
  <si>
    <t>DUCTIBILIDAD A  25° C; CM, MINIMO</t>
  </si>
  <si>
    <t>50 MINIMO</t>
  </si>
  <si>
    <r>
      <t>PENETRACION A RETENIDA A 25° C , EN 100 G Y 5 S;10</t>
    </r>
    <r>
      <rPr>
        <vertAlign val="superscript"/>
        <sz val="8"/>
        <rFont val="Arial"/>
        <family val="2"/>
      </rPr>
      <t>-1</t>
    </r>
    <r>
      <rPr>
        <sz val="8"/>
        <rFont val="Arial"/>
        <family val="2"/>
      </rPr>
      <t xml:space="preserve"> MM</t>
    </r>
  </si>
  <si>
    <t>54 MINIMO</t>
  </si>
  <si>
    <t>OBSERVACIONES:</t>
  </si>
  <si>
    <t>EL RESULTADO PREELIMINAR DE LA MUESTRA ANALIZADA SI CUMPLE CON REQUISITOS DE NORMA DE CALIDAD (NIT- SCT N-CMT-4-05-001/06).</t>
  </si>
  <si>
    <t>EL JEFE DE LABORATORIO</t>
  </si>
  <si>
    <t>F-LAS-EAT-A05</t>
  </si>
  <si>
    <t>SE DESCONOCE</t>
  </si>
  <si>
    <t>FORMA GENERAL DE REPORTE</t>
  </si>
  <si>
    <t>No. DE ENSAYO</t>
  </si>
  <si>
    <t>FECHA DE MUESTREO</t>
  </si>
  <si>
    <t>PARA EMPLEARSE EN</t>
  </si>
  <si>
    <t>ESTUDIO MARSHALL</t>
  </si>
  <si>
    <t xml:space="preserve">DENSIDAD POR EL METODO DEL CUERPO DE INGENIEROS </t>
  </si>
  <si>
    <t>PESO DEL BOTE + VARILLA</t>
  </si>
  <si>
    <t>PESO DE BOTE + VARILLA + CEMENTO ASF. EN AIRE (W1)</t>
  </si>
  <si>
    <t>PESO DEL BOTE + VARILLA + CEMENTO ASF. EN AGUA (Ww)</t>
  </si>
  <si>
    <t>VOLUMEN DEL CEMENTO ASFALTICO (C.A.)</t>
  </si>
  <si>
    <t>PESO DE CHAROLA     (Wc)</t>
  </si>
  <si>
    <t>PESO DE CHAROLA + MATERIAL</t>
  </si>
  <si>
    <t>PESO DE MATERIAL     (Wa)</t>
  </si>
  <si>
    <t>PESO DE BOTE + C.A. + VARILLA + MAT.  EN AIRE (W*t)</t>
  </si>
  <si>
    <t>PESO DE BOTE + C.A. + VARILLA + MAT.  EN AGUA (W*w)</t>
  </si>
  <si>
    <t>SD</t>
  </si>
  <si>
    <t>PESO DE MATERIAL SECO (Wp)</t>
  </si>
  <si>
    <t>PESO BOTE + VARILLA + C.A. EN AGUA (W'a)</t>
  </si>
  <si>
    <t>PESO BOTE + VARILLA + C.A. + MATERIAL (W'ap)</t>
  </si>
  <si>
    <t>F-LAS-CT/2013</t>
  </si>
  <si>
    <t xml:space="preserve">                                CALCULO DEL ENSAYE DISEÑO MARSHALL </t>
  </si>
  <si>
    <t>PROBETA</t>
  </si>
  <si>
    <t>PORCENTAJE DE C.A. VERIFICADO</t>
  </si>
  <si>
    <t>PESOS ESPESIMEN</t>
  </si>
  <si>
    <t>VOLUMENES</t>
  </si>
  <si>
    <t>PESO VOLUMETRICO ESPESIMEN KG/M3</t>
  </si>
  <si>
    <t>PESO ESPESIFICO TEORICO MAXIMO G/CM3</t>
  </si>
  <si>
    <t>PROPORCIONES EN VOLUMEN</t>
  </si>
  <si>
    <t>PORCENTAJE DE VACIOS</t>
  </si>
  <si>
    <t>DETERMINACION DE LA ESTABILIDAD</t>
  </si>
  <si>
    <t>FLUJO</t>
  </si>
  <si>
    <t>CONSTANTE PRENSA</t>
  </si>
  <si>
    <t>LECTURA FLUJO</t>
  </si>
  <si>
    <t>FLUJO MM</t>
  </si>
  <si>
    <t>MATERIAL DE RECUBRIMIENTO G.</t>
  </si>
  <si>
    <t>ESPESIMEN RECUBIERTO CM3</t>
  </si>
  <si>
    <t>MATERIAL DE RECUBRIMIENTO CM3</t>
  </si>
  <si>
    <t>ESPECIMEN CM3</t>
  </si>
  <si>
    <t>CEMENTO ASFALTICO %</t>
  </si>
  <si>
    <t>MATERIAL PETREO %</t>
  </si>
  <si>
    <t>VACIOS %</t>
  </si>
  <si>
    <t>MATERIAL PETREO V.A.M.</t>
  </si>
  <si>
    <t>LLENADOS POR EL C.A.</t>
  </si>
  <si>
    <t>LECTURA MICROMETRICA</t>
  </si>
  <si>
    <t>ESTABILIDAD SIN CORREGIR</t>
  </si>
  <si>
    <t>FACTOR DE CORRECCION POR ALTURA</t>
  </si>
  <si>
    <t>ESTABILIDAD CORREGIDA</t>
  </si>
  <si>
    <t>MM.</t>
  </si>
  <si>
    <t>NUM.</t>
  </si>
  <si>
    <t>C.A. %</t>
  </si>
  <si>
    <t>AL AGREGADO</t>
  </si>
  <si>
    <t>A LA MEZCLA</t>
  </si>
  <si>
    <t>RECUBRIMIENTO EN AIRE G.</t>
  </si>
  <si>
    <t>SIN RECUBRIMIENTO EN AIRE G.</t>
  </si>
  <si>
    <t>RECUBRIMIENTO SUMERGIDO EN AGUA G.</t>
  </si>
  <si>
    <t xml:space="preserve">A </t>
  </si>
  <si>
    <t>E</t>
  </si>
  <si>
    <t>F</t>
  </si>
  <si>
    <t>G</t>
  </si>
  <si>
    <t>H</t>
  </si>
  <si>
    <t>J</t>
  </si>
  <si>
    <t>L</t>
  </si>
  <si>
    <t xml:space="preserve">M </t>
  </si>
  <si>
    <t>N</t>
  </si>
  <si>
    <t xml:space="preserve">P </t>
  </si>
  <si>
    <t>Q</t>
  </si>
  <si>
    <t>T</t>
  </si>
  <si>
    <t>U</t>
  </si>
  <si>
    <t>V</t>
  </si>
  <si>
    <t>W</t>
  </si>
  <si>
    <t>Z</t>
  </si>
  <si>
    <t>Y</t>
  </si>
  <si>
    <t>C-D</t>
  </si>
  <si>
    <t>C-E</t>
  </si>
  <si>
    <t>F/DP</t>
  </si>
  <si>
    <t>G-H</t>
  </si>
  <si>
    <t>D/I</t>
  </si>
  <si>
    <t>(**)</t>
  </si>
  <si>
    <t>B*J/YC.A</t>
  </si>
  <si>
    <t>(100-b)j/s.p.</t>
  </si>
  <si>
    <t>100-I-M</t>
  </si>
  <si>
    <t>100-M</t>
  </si>
  <si>
    <t>(l/P)100</t>
  </si>
  <si>
    <t>S*R(**)</t>
  </si>
  <si>
    <t>(U) (Y)</t>
  </si>
  <si>
    <t>R= CONSTANTE DE ANILLO</t>
  </si>
  <si>
    <t xml:space="preserve">º= DENSIDAD TEORICA MAXIMA </t>
  </si>
  <si>
    <t>CONSTANTE FLUJO</t>
  </si>
  <si>
    <t xml:space="preserve"> </t>
  </si>
  <si>
    <t>GRAFICAS Y RESULTADOS DE LA PRUEBA MARSHALL</t>
  </si>
  <si>
    <t>FECHA DE RECIBO:</t>
  </si>
  <si>
    <t>FECHA  DE INFORME:</t>
  </si>
  <si>
    <t>MATERIAL PARA LA CAPA DE:</t>
  </si>
  <si>
    <t>UBICACIÓN DE LA PLANTA:</t>
  </si>
  <si>
    <t>OBJETO DEL ENSAYE:</t>
  </si>
  <si>
    <t>ESTUDIO</t>
  </si>
  <si>
    <t>X</t>
  </si>
  <si>
    <t>CARACTERISTICAS</t>
  </si>
  <si>
    <t>DATOS OBTENIDOS</t>
  </si>
  <si>
    <t>CONT. OPTIMO DE C.A. (%)</t>
  </si>
  <si>
    <t>PESO ESPECIFICO (kg/m3)</t>
  </si>
  <si>
    <t>VACIOS (%)</t>
  </si>
  <si>
    <t>3 A 5</t>
  </si>
  <si>
    <t>V.A.M. (%)</t>
  </si>
  <si>
    <t>14 MIN</t>
  </si>
  <si>
    <t>V.F.A (%)</t>
  </si>
  <si>
    <t>65 A 75</t>
  </si>
  <si>
    <t>FLUJO (mm)</t>
  </si>
  <si>
    <t>ESTABILIDAD (kgs.)</t>
  </si>
  <si>
    <t>816 MIN</t>
  </si>
  <si>
    <t>PERDIDA DE ESTABILIDAD POR IMERSION EN AGUA (%)</t>
  </si>
  <si>
    <t>25.0 MIN.</t>
  </si>
  <si>
    <r>
      <t xml:space="preserve">ESPECIMENES COMPACTADOS CON 75 GOLPES DEL PISON POR CARA A LA TEMPERATURA DE 145 </t>
    </r>
    <r>
      <rPr>
        <vertAlign val="superscript"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>C</t>
    </r>
  </si>
  <si>
    <t xml:space="preserve">   OBSERVASIONES:</t>
  </si>
  <si>
    <t xml:space="preserve">   SE REPORTAN RESULTADOS DE LA PRUEBA MARSHALL REALIZADA MEDIANTE NORMAS PARA MUESTREO Y PRUEBAS DE LOS MATERIALES, EQUIPOS Y SISTEMAS VIGENTES.</t>
  </si>
  <si>
    <t>F-LAS-EAT-A04</t>
  </si>
  <si>
    <t xml:space="preserve">                 FORMA GENERAL DE REPORTE</t>
  </si>
  <si>
    <t>VALORES PROMEDIO EN GRAFICAS MARSHALL</t>
  </si>
  <si>
    <t>PUNTO</t>
  </si>
  <si>
    <t>C.A.%</t>
  </si>
  <si>
    <t>PESO VOLUMETRICO</t>
  </si>
  <si>
    <t>% VACIOS</t>
  </si>
  <si>
    <t>% VAM</t>
  </si>
  <si>
    <t>ESTABILIDAD KG.</t>
  </si>
  <si>
    <t>ALTURA ESPECIMEN CM</t>
  </si>
  <si>
    <t>NORMA VIGENTE (N-CMT-4-05-003/08)</t>
  </si>
  <si>
    <t>OBRA Y UBICACIÓN</t>
  </si>
  <si>
    <t>Ensaye Num.</t>
  </si>
  <si>
    <t>Fecha de Recibo</t>
  </si>
  <si>
    <t>Fecha de Informe</t>
  </si>
  <si>
    <t xml:space="preserve">CURVA DE TEMPERATURA </t>
  </si>
  <si>
    <t>TEMPERATURAS OBTENIDAS Y RECOMENDADAS</t>
  </si>
  <si>
    <t>MIN</t>
  </si>
  <si>
    <t>MAX</t>
  </si>
  <si>
    <r>
      <t xml:space="preserve">TEMPERATURA DE MEZCLADO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0"/>
        <rFont val="Arial"/>
        <family val="2"/>
      </rPr>
      <t>C</t>
    </r>
  </si>
  <si>
    <r>
      <t xml:space="preserve">TEMPERATURA DE COMPACTACION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0"/>
        <rFont val="Arial"/>
        <family val="2"/>
      </rPr>
      <t>C</t>
    </r>
  </si>
  <si>
    <t>CEMENTO ASFALTICO AC - 20</t>
  </si>
  <si>
    <t>F-LAS-EAT-T09</t>
  </si>
  <si>
    <t>COORDINADOR DE CALIDAD</t>
  </si>
  <si>
    <t>INFORME DE ENSAYE DE CONCRETO ASFÁLTICO</t>
  </si>
  <si>
    <t>N-CMT-4-05-003/08 NIT - SCT.</t>
  </si>
  <si>
    <t>MEZCLA ASFALTICA</t>
  </si>
  <si>
    <t>CARP. ASF.</t>
  </si>
  <si>
    <t>VIAJE No</t>
  </si>
  <si>
    <t>TENDIDO EN km.</t>
  </si>
  <si>
    <t>A km</t>
  </si>
  <si>
    <t>CARRIL</t>
  </si>
  <si>
    <t>FRANJA</t>
  </si>
  <si>
    <t>TEMP. DE LA MEZCLA AL SALIR DE LA PLANTA</t>
  </si>
  <si>
    <r>
      <t>O</t>
    </r>
    <r>
      <rPr>
        <sz val="12"/>
        <rFont val="Calibri"/>
        <family val="2"/>
        <scheme val="minor"/>
      </rPr>
      <t>C EN EL TENDIDO</t>
    </r>
  </si>
  <si>
    <r>
      <t>O</t>
    </r>
    <r>
      <rPr>
        <sz val="12"/>
        <rFont val="Calibri"/>
        <family val="2"/>
        <scheme val="minor"/>
      </rPr>
      <t>C AL INICIAR LA COMPACT.</t>
    </r>
  </si>
  <si>
    <t>CARACTERÍSTICAS DEL MATERIAL PETREO</t>
  </si>
  <si>
    <r>
      <t>P.E. SECO SUELTO KM/M</t>
    </r>
    <r>
      <rPr>
        <vertAlign val="superscript"/>
        <sz val="12"/>
        <rFont val="Arial"/>
        <family val="2"/>
      </rPr>
      <t>3</t>
    </r>
  </si>
  <si>
    <t>GRANULOMETRIA</t>
  </si>
  <si>
    <t>COMPOSICIÓN GRANULOMÉTRICA</t>
  </si>
  <si>
    <t>% Q PASA</t>
  </si>
  <si>
    <t>DEL PROYECTO</t>
  </si>
  <si>
    <t>Núm. 1</t>
  </si>
  <si>
    <t>Núm. 3/4</t>
  </si>
  <si>
    <t>Núm. 1/2</t>
  </si>
  <si>
    <t>Núm. 3/8</t>
  </si>
  <si>
    <t>Núm.1/4</t>
  </si>
  <si>
    <t>Núm. 4</t>
  </si>
  <si>
    <t>Núm. 10</t>
  </si>
  <si>
    <t>Núm. 20</t>
  </si>
  <si>
    <t>Núm. 40</t>
  </si>
  <si>
    <t>Núm. 60</t>
  </si>
  <si>
    <t>Núm. 100</t>
  </si>
  <si>
    <t>Núm. 200</t>
  </si>
  <si>
    <r>
      <t>P.E. (Ym)g/cm</t>
    </r>
    <r>
      <rPr>
        <vertAlign val="superscript"/>
        <sz val="14"/>
        <rFont val="Calibri"/>
        <family val="2"/>
        <scheme val="minor"/>
      </rPr>
      <t>3</t>
    </r>
  </si>
  <si>
    <t>2.4 MIN</t>
  </si>
  <si>
    <t>ABSORCIÓN</t>
  </si>
  <si>
    <t>DESGASTE %</t>
  </si>
  <si>
    <t>30 MAX.</t>
  </si>
  <si>
    <t>%DE TRITURACIÓN</t>
  </si>
  <si>
    <t>PART. ALARGADAS Y LAJEADAS %</t>
  </si>
  <si>
    <t>35 MAX.</t>
  </si>
  <si>
    <t xml:space="preserve">   </t>
  </si>
  <si>
    <t xml:space="preserve">  </t>
  </si>
  <si>
    <t>EQUIV. DE ARENA</t>
  </si>
  <si>
    <t>50 MIN.</t>
  </si>
  <si>
    <t>CARACTERÍSTICA DE LA MEZCLA</t>
  </si>
  <si>
    <t>C ARACTERÍSTICAS DEL ESPECIMEN</t>
  </si>
  <si>
    <t>CARACTERÍSTICAS DEL ASFALTO</t>
  </si>
  <si>
    <t>CONTENIDO DEL ASFALTO</t>
  </si>
  <si>
    <r>
      <t>P.E. kg/m</t>
    </r>
    <r>
      <rPr>
        <vertAlign val="superscript"/>
        <sz val="14"/>
        <rFont val="Calibri"/>
        <family val="2"/>
        <scheme val="minor"/>
      </rPr>
      <t>3</t>
    </r>
  </si>
  <si>
    <t>TIPO</t>
  </si>
  <si>
    <t>ADITIVO USADO</t>
  </si>
  <si>
    <t>MARCA</t>
  </si>
  <si>
    <t>ESTABILIDAD kg</t>
  </si>
  <si>
    <t>PENETRACIÓN</t>
  </si>
  <si>
    <t>FLUJO mm</t>
  </si>
  <si>
    <t>2 - 3.5</t>
  </si>
  <si>
    <t>VISCOSIDAD</t>
  </si>
  <si>
    <t>CANTIDAD</t>
  </si>
  <si>
    <t>3 - 5</t>
  </si>
  <si>
    <t>TEMP. DE MEZCLADO</t>
  </si>
  <si>
    <t>AFINIDAD</t>
  </si>
  <si>
    <t>BUENA</t>
  </si>
  <si>
    <t>V.A.M. %</t>
  </si>
  <si>
    <t xml:space="preserve">14.0 MIN. </t>
  </si>
  <si>
    <t>CONCLUSION:</t>
  </si>
  <si>
    <t>MEZCLADO EN LABORATORIO</t>
  </si>
  <si>
    <t>LABORATORIO</t>
  </si>
  <si>
    <t>ESPECIFICACIÓN</t>
  </si>
  <si>
    <t>DENSIDAD CEMENTO ASFALTICO (D.C.A) =</t>
  </si>
  <si>
    <t>DENSIDAD DE MATEIAL PETREO (D.M.P)=</t>
  </si>
  <si>
    <t>DENSIDAD PARAFINA D.P=</t>
  </si>
  <si>
    <t>70 A 81</t>
  </si>
  <si>
    <t>56 A 69</t>
  </si>
  <si>
    <t>28 A 42</t>
  </si>
  <si>
    <t>18 A 27</t>
  </si>
  <si>
    <t>13 A 20</t>
  </si>
  <si>
    <t>10 A 15</t>
  </si>
  <si>
    <t>6 A 12</t>
  </si>
  <si>
    <t>2 A 7</t>
  </si>
  <si>
    <t>COMPOSICION GRANULOMETRICA</t>
  </si>
  <si>
    <t>12.50 ( 1/2")</t>
  </si>
  <si>
    <t>MATERIAL PETREO 3/8" CALIZO</t>
  </si>
  <si>
    <t>MUESTRA ENVIADA AL LABORATORIO</t>
  </si>
  <si>
    <t>PLANTA CRIBISA EN LERDO, DGO.</t>
  </si>
  <si>
    <t>GRANLOMETRIA DENSA TAMAÑO NOMINAL 9.50 MM (CUALQUIER VALOR)</t>
  </si>
  <si>
    <t>9.50 ( 3/8")</t>
  </si>
  <si>
    <t xml:space="preserve">SE REPORTAN RESULTADOS DE GRAVAS DE 3/8" </t>
  </si>
  <si>
    <t>C. JULIO CESAR GARCIA RODRIGUEZ</t>
  </si>
  <si>
    <t>ING. JOSE LUIS TAMAYO AMAYA</t>
  </si>
  <si>
    <t>ARQ. CARLOS G. TAMAYO AMAYA</t>
  </si>
  <si>
    <t>Vo. Bo.</t>
  </si>
  <si>
    <t>MATERIAL PETREO 1/2" REOLITICO</t>
  </si>
  <si>
    <t xml:space="preserve">SE REPORTAN RESULTADOS DE GRAVAS DE 1/2" </t>
  </si>
  <si>
    <t>SELLO CALIZO</t>
  </si>
  <si>
    <t>SELLO REOLITICO</t>
  </si>
  <si>
    <t>POLVILLO 3/16"</t>
  </si>
  <si>
    <t>CURVA TEORICA PARA PROYECTO DE GRANULOMETRIA DENSA CON TAMAÑO NOMINAL DE 9.50 MM (N-CMT-4-04/08)</t>
  </si>
  <si>
    <t>PROBETAS GRS. (18)</t>
  </si>
  <si>
    <t>MEZCLA TEORICA 1/2" A FINOS</t>
  </si>
  <si>
    <t>12.50 (1/2")</t>
  </si>
  <si>
    <t>MEZCLA ELABORADA EN LABORATORIO ´PARA DISEÑO MARSHALL</t>
  </si>
  <si>
    <t>MEZCLA FISICA DE 1/2" A FINOS</t>
  </si>
  <si>
    <t>PG 64-22</t>
  </si>
  <si>
    <t>-</t>
  </si>
  <si>
    <t>ENSAYOS</t>
  </si>
  <si>
    <t>12.50 MM (1/2") A FINOS</t>
  </si>
  <si>
    <t>149-157</t>
  </si>
  <si>
    <t xml:space="preserve">LABORATORISTA     </t>
  </si>
  <si>
    <t xml:space="preserve">JEFE DE LABORATORIO   </t>
  </si>
  <si>
    <t>MATERIAL CALIZO POLVILLO 3/16" A FINOS</t>
  </si>
  <si>
    <t>EN BANCO</t>
  </si>
  <si>
    <t>MICROCARPETA T.M. 13 MM EN CALIENTE</t>
  </si>
  <si>
    <t>Peso material</t>
  </si>
  <si>
    <t>638-655</t>
  </si>
  <si>
    <t>2 A 3.5</t>
  </si>
  <si>
    <t>SE REPORTA GRANULOMETRIA DE MEZCLA TEORICA PARTICIPANDO 30 % DE SELLO CALIZO 3/8" , 20% DE MATERIAL SELLO REOLITICO 1/2" Y 50 % DE POLVILLO-ARENAS</t>
  </si>
  <si>
    <t>SE REPORTA GRANULOMETRIA DE MEZCLA FISICA PARTICIPANDO 20 % DE SELLO CALIZO 3/8" , 30% DE MATERIAL SELLO REOLITICO 1/2" Y 50 % DE POLVILLO-ARENAS</t>
  </si>
  <si>
    <t>SAN LUIS DEL CORDERO - SAN PEDRO DEL GALLO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</si>
</sst>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%"/>
    <numFmt numFmtId="168" formatCode="dd/mm/yyyy;@"/>
  </numFmts>
  <fonts count="8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Arial"/>
      <family val="2"/>
    </font>
    <font>
      <u/>
      <sz val="14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color theme="0"/>
      <name val="Arial"/>
      <family val="2"/>
    </font>
    <font>
      <b/>
      <i/>
      <sz val="18"/>
      <name val="Arial"/>
      <family val="2"/>
    </font>
    <font>
      <sz val="15"/>
      <name val="Arial"/>
      <family val="2"/>
    </font>
    <font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6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9"/>
      <name val="Tahoma"/>
      <family val="2"/>
    </font>
    <font>
      <b/>
      <sz val="9"/>
      <color theme="0"/>
      <name val="Calibri"/>
      <family val="2"/>
      <scheme val="minor"/>
    </font>
    <font>
      <sz val="6.5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6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7.5"/>
      <name val="Arial"/>
      <family val="2"/>
    </font>
    <font>
      <u/>
      <sz val="9"/>
      <name val="Arial"/>
      <family val="2"/>
    </font>
    <font>
      <sz val="7"/>
      <name val="Arial"/>
      <family val="2"/>
    </font>
    <font>
      <b/>
      <sz val="10.5"/>
      <name val="Adobe Garamond Pro"/>
      <family val="1"/>
    </font>
    <font>
      <b/>
      <sz val="12"/>
      <name val="Arial"/>
      <family val="2"/>
    </font>
    <font>
      <b/>
      <sz val="9"/>
      <name val="Adobe Garamond Pro"/>
      <family val="1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i/>
      <sz val="8"/>
      <name val="Arial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rgb="FF000000"/>
      <name val="Calibri"/>
      <family val="2"/>
    </font>
    <font>
      <vertAlign val="superscript"/>
      <sz val="12"/>
      <name val="Calibri"/>
      <family val="2"/>
      <scheme val="minor"/>
    </font>
    <font>
      <vertAlign val="superscript"/>
      <sz val="14"/>
      <name val="Calibri"/>
      <family val="2"/>
      <scheme val="minor"/>
    </font>
    <font>
      <vertAlign val="superscript"/>
      <sz val="12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5"/>
      <name val="Calibri"/>
      <family val="2"/>
      <scheme val="minor"/>
    </font>
    <font>
      <sz val="7"/>
      <color rgb="FFFF0000"/>
      <name val="Calibri"/>
      <family val="2"/>
      <scheme val="minor"/>
    </font>
    <font>
      <sz val="16"/>
      <color rgb="FFFF000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13">
    <xf numFmtId="0" fontId="0" fillId="0" borderId="0"/>
    <xf numFmtId="0" fontId="18" fillId="0" borderId="0"/>
    <xf numFmtId="0" fontId="8" fillId="0" borderId="0"/>
    <xf numFmtId="0" fontId="18" fillId="0" borderId="0"/>
    <xf numFmtId="0" fontId="7" fillId="0" borderId="0"/>
    <xf numFmtId="0" fontId="18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77" fillId="0" borderId="0" applyNumberFormat="0" applyFill="0" applyBorder="0" applyAlignment="0" applyProtection="0">
      <alignment vertical="top"/>
      <protection locked="0"/>
    </xf>
  </cellStyleXfs>
  <cellXfs count="995">
    <xf numFmtId="0" fontId="0" fillId="0" borderId="0" xfId="0"/>
    <xf numFmtId="0" fontId="9" fillId="0" borderId="0" xfId="0" applyFont="1"/>
    <xf numFmtId="0" fontId="0" fillId="0" borderId="0" xfId="0" applyBorder="1"/>
    <xf numFmtId="0" fontId="9" fillId="0" borderId="5" xfId="0" applyFont="1" applyBorder="1"/>
    <xf numFmtId="0" fontId="9" fillId="0" borderId="6" xfId="0" applyFont="1" applyBorder="1"/>
    <xf numFmtId="0" fontId="10" fillId="0" borderId="0" xfId="0" applyFont="1" applyBorder="1"/>
    <xf numFmtId="0" fontId="11" fillId="0" borderId="9" xfId="0" applyFont="1" applyBorder="1"/>
    <xf numFmtId="49" fontId="10" fillId="0" borderId="0" xfId="0" applyNumberFormat="1" applyFont="1" applyBorder="1"/>
    <xf numFmtId="0" fontId="10" fillId="0" borderId="8" xfId="0" applyFont="1" applyBorder="1"/>
    <xf numFmtId="0" fontId="11" fillId="0" borderId="11" xfId="0" applyFont="1" applyBorder="1"/>
    <xf numFmtId="0" fontId="10" fillId="0" borderId="5" xfId="0" applyFont="1" applyBorder="1"/>
    <xf numFmtId="0" fontId="11" fillId="0" borderId="6" xfId="0" applyFont="1" applyBorder="1"/>
    <xf numFmtId="0" fontId="10" fillId="0" borderId="0" xfId="0" applyFont="1" applyBorder="1" applyAlignment="1"/>
    <xf numFmtId="0" fontId="11" fillId="0" borderId="10" xfId="0" applyFont="1" applyBorder="1"/>
    <xf numFmtId="0" fontId="11" fillId="0" borderId="7" xfId="0" applyFont="1" applyBorder="1"/>
    <xf numFmtId="0" fontId="11" fillId="0" borderId="0" xfId="0" applyFont="1" applyBorder="1"/>
    <xf numFmtId="0" fontId="11" fillId="0" borderId="5" xfId="0" applyFont="1" applyBorder="1"/>
    <xf numFmtId="0" fontId="12" fillId="0" borderId="0" xfId="0" applyFont="1" applyBorder="1"/>
    <xf numFmtId="0" fontId="11" fillId="0" borderId="4" xfId="0" applyFont="1" applyBorder="1"/>
    <xf numFmtId="0" fontId="11" fillId="0" borderId="0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Border="1" applyAlignment="1"/>
    <xf numFmtId="0" fontId="11" fillId="0" borderId="7" xfId="0" applyFont="1" applyBorder="1" applyAlignment="1"/>
    <xf numFmtId="0" fontId="12" fillId="0" borderId="7" xfId="0" applyFont="1" applyBorder="1"/>
    <xf numFmtId="0" fontId="12" fillId="0" borderId="9" xfId="0" applyFont="1" applyBorder="1"/>
    <xf numFmtId="0" fontId="11" fillId="0" borderId="8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4" fillId="0" borderId="0" xfId="0" applyFont="1"/>
    <xf numFmtId="0" fontId="9" fillId="0" borderId="0" xfId="0" applyFont="1" applyBorder="1"/>
    <xf numFmtId="14" fontId="10" fillId="0" borderId="2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8" xfId="0" applyFont="1" applyBorder="1" applyAlignment="1"/>
    <xf numFmtId="0" fontId="10" fillId="0" borderId="2" xfId="0" applyFont="1" applyBorder="1" applyAlignment="1"/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" xfId="0" applyFont="1" applyBorder="1"/>
    <xf numFmtId="0" fontId="11" fillId="0" borderId="2" xfId="0" applyFont="1" applyBorder="1"/>
    <xf numFmtId="164" fontId="10" fillId="0" borderId="0" xfId="0" applyNumberFormat="1" applyFont="1" applyBorder="1" applyAlignment="1">
      <alignment horizontal="center"/>
    </xf>
    <xf numFmtId="0" fontId="11" fillId="0" borderId="5" xfId="0" applyFont="1" applyBorder="1" applyAlignment="1">
      <alignment vertical="center" textRotation="90"/>
    </xf>
    <xf numFmtId="1" fontId="9" fillId="0" borderId="12" xfId="1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1" fillId="0" borderId="7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164" fontId="10" fillId="0" borderId="0" xfId="0" applyNumberFormat="1" applyFont="1" applyBorder="1" applyAlignment="1"/>
    <xf numFmtId="1" fontId="10" fillId="0" borderId="0" xfId="0" applyNumberFormat="1" applyFont="1" applyBorder="1" applyAlignment="1"/>
    <xf numFmtId="0" fontId="10" fillId="0" borderId="0" xfId="0" applyFont="1" applyBorder="1" applyAlignment="1">
      <alignment vertical="center" wrapText="1"/>
    </xf>
    <xf numFmtId="49" fontId="10" fillId="0" borderId="0" xfId="0" applyNumberFormat="1" applyFont="1" applyBorder="1" applyAlignment="1"/>
    <xf numFmtId="0" fontId="11" fillId="0" borderId="9" xfId="0" applyFont="1" applyBorder="1" applyAlignment="1">
      <alignment vertical="center"/>
    </xf>
    <xf numFmtId="0" fontId="0" fillId="2" borderId="5" xfId="0" applyFill="1" applyBorder="1"/>
    <xf numFmtId="0" fontId="11" fillId="0" borderId="2" xfId="0" applyFont="1" applyBorder="1" applyAlignment="1">
      <alignment vertical="top" wrapText="1"/>
    </xf>
    <xf numFmtId="0" fontId="22" fillId="0" borderId="0" xfId="0" applyFont="1" applyBorder="1"/>
    <xf numFmtId="1" fontId="26" fillId="0" borderId="12" xfId="1" applyNumberFormat="1" applyFont="1" applyBorder="1" applyAlignment="1">
      <alignment horizontal="center"/>
    </xf>
    <xf numFmtId="0" fontId="9" fillId="0" borderId="0" xfId="0" applyFont="1" applyAlignment="1"/>
    <xf numFmtId="1" fontId="19" fillId="0" borderId="12" xfId="1" applyNumberFormat="1" applyFont="1" applyBorder="1" applyAlignment="1">
      <alignment horizontal="center" vertical="center" wrapText="1"/>
    </xf>
    <xf numFmtId="0" fontId="0" fillId="0" borderId="0" xfId="0" applyFont="1"/>
    <xf numFmtId="1" fontId="19" fillId="0" borderId="12" xfId="1" applyNumberFormat="1" applyFont="1" applyBorder="1" applyAlignment="1">
      <alignment horizontal="center" vertical="center" wrapText="1"/>
    </xf>
    <xf numFmtId="1" fontId="19" fillId="0" borderId="12" xfId="1" applyNumberFormat="1" applyFont="1" applyBorder="1" applyAlignment="1">
      <alignment horizontal="center" vertical="center" wrapText="1"/>
    </xf>
    <xf numFmtId="0" fontId="23" fillId="0" borderId="0" xfId="5" applyFont="1"/>
    <xf numFmtId="0" fontId="23" fillId="0" borderId="12" xfId="5" applyFont="1" applyBorder="1"/>
    <xf numFmtId="0" fontId="25" fillId="0" borderId="12" xfId="5" applyFont="1" applyBorder="1"/>
    <xf numFmtId="0" fontId="23" fillId="0" borderId="1" xfId="5" applyFont="1" applyBorder="1"/>
    <xf numFmtId="14" fontId="25" fillId="0" borderId="3" xfId="5" applyNumberFormat="1" applyFont="1" applyBorder="1"/>
    <xf numFmtId="14" fontId="23" fillId="0" borderId="3" xfId="5" applyNumberFormat="1" applyFont="1" applyBorder="1"/>
    <xf numFmtId="0" fontId="24" fillId="0" borderId="12" xfId="5" applyFont="1" applyFill="1" applyBorder="1" applyAlignment="1">
      <alignment horizontal="center" vertical="center"/>
    </xf>
    <xf numFmtId="0" fontId="24" fillId="0" borderId="12" xfId="5" applyFont="1" applyFill="1" applyBorder="1" applyAlignment="1">
      <alignment horizontal="center" vertical="center" wrapText="1"/>
    </xf>
    <xf numFmtId="0" fontId="24" fillId="0" borderId="12" xfId="5" applyFont="1" applyBorder="1" applyAlignment="1">
      <alignment horizontal="center" vertical="center"/>
    </xf>
    <xf numFmtId="0" fontId="23" fillId="0" borderId="7" xfId="5" applyFont="1" applyBorder="1" applyAlignment="1">
      <alignment vertical="top"/>
    </xf>
    <xf numFmtId="0" fontId="25" fillId="0" borderId="9" xfId="5" applyFont="1" applyBorder="1" applyAlignment="1">
      <alignment horizontal="center" vertical="top"/>
    </xf>
    <xf numFmtId="164" fontId="25" fillId="0" borderId="12" xfId="5" applyNumberFormat="1" applyFont="1" applyBorder="1" applyAlignment="1">
      <alignment horizontal="center" vertical="center"/>
    </xf>
    <xf numFmtId="1" fontId="24" fillId="0" borderId="12" xfId="5" applyNumberFormat="1" applyFont="1" applyBorder="1" applyAlignment="1">
      <alignment horizontal="center" vertical="center"/>
    </xf>
    <xf numFmtId="49" fontId="24" fillId="0" borderId="12" xfId="5" applyNumberFormat="1" applyFont="1" applyBorder="1" applyAlignment="1">
      <alignment horizontal="center" vertical="center"/>
    </xf>
    <xf numFmtId="1" fontId="23" fillId="0" borderId="0" xfId="5" applyNumberFormat="1" applyFont="1" applyAlignment="1">
      <alignment horizontal="center"/>
    </xf>
    <xf numFmtId="164" fontId="24" fillId="0" borderId="12" xfId="5" applyNumberFormat="1" applyFont="1" applyBorder="1" applyAlignment="1">
      <alignment horizontal="center" vertical="center"/>
    </xf>
    <xf numFmtId="0" fontId="24" fillId="0" borderId="12" xfId="5" quotePrefix="1" applyFont="1" applyFill="1" applyBorder="1" applyAlignment="1">
      <alignment horizontal="center" vertical="center"/>
    </xf>
    <xf numFmtId="4" fontId="24" fillId="0" borderId="12" xfId="5" applyNumberFormat="1" applyFont="1" applyBorder="1" applyAlignment="1">
      <alignment horizontal="center" vertical="center"/>
    </xf>
    <xf numFmtId="4" fontId="24" fillId="0" borderId="12" xfId="5" applyNumberFormat="1" applyFont="1" applyFill="1" applyBorder="1" applyAlignment="1">
      <alignment horizontal="center" vertical="center"/>
    </xf>
    <xf numFmtId="4" fontId="24" fillId="0" borderId="12" xfId="5" applyNumberFormat="1" applyFont="1" applyFill="1" applyBorder="1" applyAlignment="1">
      <alignment horizontal="center" vertical="center" wrapText="1"/>
    </xf>
    <xf numFmtId="164" fontId="24" fillId="0" borderId="12" xfId="5" applyNumberFormat="1" applyFont="1" applyFill="1" applyBorder="1" applyAlignment="1">
      <alignment horizontal="center" vertical="center" wrapText="1"/>
    </xf>
    <xf numFmtId="0" fontId="24" fillId="0" borderId="12" xfId="5" quotePrefix="1" applyFont="1" applyBorder="1" applyAlignment="1">
      <alignment horizontal="center" vertical="center"/>
    </xf>
    <xf numFmtId="164" fontId="25" fillId="0" borderId="12" xfId="5" applyNumberFormat="1" applyFont="1" applyFill="1" applyBorder="1" applyAlignment="1">
      <alignment horizontal="center" vertical="center" wrapText="1"/>
    </xf>
    <xf numFmtId="0" fontId="33" fillId="0" borderId="14" xfId="5" applyFont="1" applyBorder="1" applyAlignment="1">
      <alignment vertical="center"/>
    </xf>
    <xf numFmtId="0" fontId="24" fillId="0" borderId="3" xfId="5" applyFont="1" applyBorder="1" applyAlignment="1">
      <alignment horizontal="center" vertical="center"/>
    </xf>
    <xf numFmtId="0" fontId="24" fillId="0" borderId="3" xfId="5" applyFont="1" applyBorder="1" applyAlignment="1">
      <alignment vertical="center"/>
    </xf>
    <xf numFmtId="165" fontId="24" fillId="0" borderId="12" xfId="5" applyNumberFormat="1" applyFont="1" applyBorder="1" applyAlignment="1">
      <alignment horizontal="center" vertical="center"/>
    </xf>
    <xf numFmtId="0" fontId="33" fillId="0" borderId="12" xfId="5" applyFont="1" applyBorder="1" applyAlignment="1">
      <alignment vertical="center"/>
    </xf>
    <xf numFmtId="0" fontId="24" fillId="0" borderId="14" xfId="5" applyFont="1" applyBorder="1" applyAlignment="1">
      <alignment horizontal="center" vertical="center"/>
    </xf>
    <xf numFmtId="0" fontId="34" fillId="0" borderId="12" xfId="5" applyFont="1" applyBorder="1" applyAlignment="1">
      <alignment horizontal="center" vertical="center" wrapText="1"/>
    </xf>
    <xf numFmtId="0" fontId="24" fillId="0" borderId="12" xfId="5" applyFont="1" applyBorder="1" applyAlignment="1">
      <alignment horizontal="center" vertical="center" wrapText="1"/>
    </xf>
    <xf numFmtId="0" fontId="23" fillId="0" borderId="12" xfId="5" applyFont="1" applyBorder="1" applyAlignment="1">
      <alignment horizontal="center" vertical="center"/>
    </xf>
    <xf numFmtId="2" fontId="24" fillId="0" borderId="12" xfId="5" applyNumberFormat="1" applyFont="1" applyFill="1" applyBorder="1" applyAlignment="1">
      <alignment horizontal="center" vertical="center"/>
    </xf>
    <xf numFmtId="164" fontId="24" fillId="0" borderId="12" xfId="5" applyNumberFormat="1" applyFont="1" applyBorder="1" applyAlignment="1">
      <alignment horizontal="center"/>
    </xf>
    <xf numFmtId="0" fontId="24" fillId="0" borderId="12" xfId="5" applyFont="1" applyBorder="1" applyAlignment="1">
      <alignment horizontal="center"/>
    </xf>
    <xf numFmtId="1" fontId="24" fillId="0" borderId="12" xfId="5" applyNumberFormat="1" applyFont="1" applyBorder="1" applyAlignment="1">
      <alignment horizontal="center"/>
    </xf>
    <xf numFmtId="2" fontId="24" fillId="0" borderId="12" xfId="5" applyNumberFormat="1" applyFont="1" applyFill="1" applyBorder="1" applyAlignment="1">
      <alignment horizontal="center"/>
    </xf>
    <xf numFmtId="2" fontId="24" fillId="0" borderId="12" xfId="5" applyNumberFormat="1" applyFont="1" applyBorder="1" applyAlignment="1">
      <alignment horizontal="center"/>
    </xf>
    <xf numFmtId="0" fontId="24" fillId="0" borderId="13" xfId="5" applyFont="1" applyFill="1" applyBorder="1" applyAlignment="1">
      <alignment horizontal="right"/>
    </xf>
    <xf numFmtId="0" fontId="33" fillId="0" borderId="10" xfId="5" applyFont="1" applyBorder="1" applyAlignment="1">
      <alignment vertical="top" wrapText="1"/>
    </xf>
    <xf numFmtId="0" fontId="33" fillId="0" borderId="8" xfId="5" applyFont="1" applyBorder="1" applyAlignment="1">
      <alignment vertical="top" wrapText="1"/>
    </xf>
    <xf numFmtId="0" fontId="24" fillId="0" borderId="12" xfId="5" applyFont="1" applyBorder="1" applyAlignment="1">
      <alignment vertical="center"/>
    </xf>
    <xf numFmtId="20" fontId="24" fillId="0" borderId="12" xfId="5" applyNumberFormat="1" applyFont="1" applyBorder="1" applyAlignment="1">
      <alignment horizontal="center"/>
    </xf>
    <xf numFmtId="0" fontId="24" fillId="0" borderId="12" xfId="5" applyFont="1" applyBorder="1" applyAlignment="1">
      <alignment horizontal="right" vertical="center"/>
    </xf>
    <xf numFmtId="0" fontId="24" fillId="0" borderId="12" xfId="5" applyFont="1" applyBorder="1" applyAlignment="1">
      <alignment horizontal="center" vertical="center" wrapText="1"/>
    </xf>
    <xf numFmtId="0" fontId="24" fillId="0" borderId="12" xfId="5" applyFont="1" applyBorder="1" applyAlignment="1">
      <alignment horizontal="center" vertical="center"/>
    </xf>
    <xf numFmtId="0" fontId="24" fillId="0" borderId="14" xfId="5" applyFont="1" applyBorder="1" applyAlignment="1">
      <alignment horizontal="center" vertical="center"/>
    </xf>
    <xf numFmtId="0" fontId="23" fillId="0" borderId="7" xfId="5" applyFont="1" applyBorder="1"/>
    <xf numFmtId="1" fontId="23" fillId="0" borderId="9" xfId="5" applyNumberFormat="1" applyFont="1" applyBorder="1" applyAlignment="1">
      <alignment horizontal="center"/>
    </xf>
    <xf numFmtId="0" fontId="25" fillId="0" borderId="12" xfId="5" applyFont="1" applyFill="1" applyBorder="1" applyAlignment="1">
      <alignment horizontal="center" vertical="center"/>
    </xf>
    <xf numFmtId="164" fontId="25" fillId="0" borderId="12" xfId="5" applyNumberFormat="1" applyFont="1" applyBorder="1" applyAlignment="1">
      <alignment horizontal="center"/>
    </xf>
    <xf numFmtId="0" fontId="25" fillId="0" borderId="12" xfId="5" applyFont="1" applyFill="1" applyBorder="1" applyAlignment="1">
      <alignment horizontal="center"/>
    </xf>
    <xf numFmtId="0" fontId="25" fillId="0" borderId="12" xfId="5" applyFont="1" applyBorder="1" applyAlignment="1">
      <alignment horizontal="center"/>
    </xf>
    <xf numFmtId="0" fontId="33" fillId="0" borderId="1" xfId="5" applyFont="1" applyFill="1" applyBorder="1" applyAlignment="1"/>
    <xf numFmtId="0" fontId="23" fillId="0" borderId="12" xfId="5" applyFont="1" applyBorder="1" applyAlignment="1">
      <alignment horizontal="center"/>
    </xf>
    <xf numFmtId="164" fontId="25" fillId="0" borderId="13" xfId="5" applyNumberFormat="1" applyFont="1" applyFill="1" applyBorder="1" applyAlignment="1">
      <alignment horizontal="center"/>
    </xf>
    <xf numFmtId="0" fontId="40" fillId="0" borderId="8" xfId="5" applyFont="1" applyBorder="1" applyAlignment="1">
      <alignment vertical="top" wrapText="1"/>
    </xf>
    <xf numFmtId="1" fontId="25" fillId="0" borderId="12" xfId="5" applyNumberFormat="1" applyFont="1" applyBorder="1" applyAlignment="1">
      <alignment horizontal="center"/>
    </xf>
    <xf numFmtId="0" fontId="24" fillId="0" borderId="12" xfId="5" applyFont="1" applyBorder="1" applyAlignment="1">
      <alignment horizontal="center" vertical="center" wrapText="1"/>
    </xf>
    <xf numFmtId="0" fontId="24" fillId="0" borderId="14" xfId="5" applyFont="1" applyBorder="1" applyAlignment="1">
      <alignment horizontal="center" vertical="center"/>
    </xf>
    <xf numFmtId="0" fontId="24" fillId="0" borderId="12" xfId="5" applyFont="1" applyBorder="1" applyAlignment="1">
      <alignment horizontal="center" vertical="center"/>
    </xf>
    <xf numFmtId="1" fontId="19" fillId="0" borderId="12" xfId="1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2" fontId="23" fillId="2" borderId="12" xfId="7" applyNumberFormat="1" applyFont="1" applyFill="1" applyBorder="1" applyAlignment="1">
      <alignment horizontal="center" vertical="center" wrapText="1"/>
    </xf>
    <xf numFmtId="167" fontId="42" fillId="2" borderId="0" xfId="7" applyNumberFormat="1" applyFont="1" applyFill="1" applyAlignment="1">
      <alignment horizontal="center" vertical="center"/>
    </xf>
    <xf numFmtId="0" fontId="23" fillId="2" borderId="0" xfId="7" applyFont="1" applyFill="1" applyAlignment="1">
      <alignment horizontal="center" vertical="center"/>
    </xf>
    <xf numFmtId="164" fontId="23" fillId="2" borderId="12" xfId="7" applyNumberFormat="1" applyFont="1" applyFill="1" applyBorder="1" applyAlignment="1">
      <alignment horizontal="center" vertical="center"/>
    </xf>
    <xf numFmtId="165" fontId="13" fillId="2" borderId="0" xfId="7" applyNumberFormat="1" applyFont="1" applyFill="1" applyAlignment="1">
      <alignment horizontal="center" vertical="center"/>
    </xf>
    <xf numFmtId="167" fontId="13" fillId="2" borderId="0" xfId="7" applyNumberFormat="1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20" fontId="25" fillId="0" borderId="12" xfId="5" applyNumberFormat="1" applyFont="1" applyBorder="1" applyAlignment="1">
      <alignment horizontal="center"/>
    </xf>
    <xf numFmtId="0" fontId="25" fillId="0" borderId="12" xfId="5" applyFont="1" applyBorder="1" applyAlignment="1">
      <alignment horizontal="center" vertical="center"/>
    </xf>
    <xf numFmtId="0" fontId="24" fillId="0" borderId="12" xfId="5" applyFont="1" applyBorder="1" applyAlignment="1">
      <alignment horizontal="center" vertical="center" wrapText="1"/>
    </xf>
    <xf numFmtId="0" fontId="24" fillId="0" borderId="12" xfId="5" applyFont="1" applyBorder="1" applyAlignment="1">
      <alignment horizontal="center" vertical="center"/>
    </xf>
    <xf numFmtId="0" fontId="24" fillId="0" borderId="14" xfId="5" applyFont="1" applyBorder="1" applyAlignment="1">
      <alignment horizontal="center" vertical="center"/>
    </xf>
    <xf numFmtId="1" fontId="19" fillId="0" borderId="12" xfId="1" applyNumberFormat="1" applyFont="1" applyBorder="1" applyAlignment="1">
      <alignment horizontal="center" vertical="center" wrapText="1"/>
    </xf>
    <xf numFmtId="2" fontId="13" fillId="2" borderId="0" xfId="7" applyNumberFormat="1" applyFont="1" applyFill="1" applyAlignment="1">
      <alignment horizontal="center" vertical="center"/>
    </xf>
    <xf numFmtId="2" fontId="13" fillId="2" borderId="0" xfId="7" applyNumberFormat="1" applyFont="1" applyFill="1" applyAlignment="1">
      <alignment horizontal="right" vertical="center"/>
    </xf>
    <xf numFmtId="0" fontId="23" fillId="2" borderId="12" xfId="4" applyFont="1" applyFill="1" applyBorder="1" applyAlignment="1">
      <alignment horizontal="center" vertical="center" wrapText="1"/>
    </xf>
    <xf numFmtId="165" fontId="24" fillId="3" borderId="12" xfId="5" applyNumberFormat="1" applyFont="1" applyFill="1" applyBorder="1" applyAlignment="1">
      <alignment horizontal="center" vertical="center"/>
    </xf>
    <xf numFmtId="0" fontId="30" fillId="0" borderId="7" xfId="5" applyFont="1" applyBorder="1" applyAlignment="1">
      <alignment vertical="top"/>
    </xf>
    <xf numFmtId="0" fontId="30" fillId="0" borderId="9" xfId="5" applyFont="1" applyBorder="1" applyAlignment="1">
      <alignment vertical="top"/>
    </xf>
    <xf numFmtId="0" fontId="30" fillId="0" borderId="10" xfId="5" applyFont="1" applyBorder="1" applyAlignment="1">
      <alignment vertical="top"/>
    </xf>
    <xf numFmtId="0" fontId="30" fillId="0" borderId="11" xfId="5" applyFont="1" applyBorder="1" applyAlignment="1">
      <alignment vertical="top"/>
    </xf>
    <xf numFmtId="0" fontId="31" fillId="0" borderId="9" xfId="5" applyFont="1" applyBorder="1" applyAlignment="1">
      <alignment horizontal="center" vertical="top"/>
    </xf>
    <xf numFmtId="1" fontId="30" fillId="0" borderId="9" xfId="5" applyNumberFormat="1" applyFont="1" applyBorder="1" applyAlignment="1">
      <alignment horizontal="center" vertical="top"/>
    </xf>
    <xf numFmtId="0" fontId="13" fillId="2" borderId="0" xfId="7" applyFont="1" applyFill="1" applyAlignment="1">
      <alignment vertical="center"/>
    </xf>
    <xf numFmtId="0" fontId="0" fillId="0" borderId="0" xfId="0" applyBorder="1" applyAlignment="1"/>
    <xf numFmtId="0" fontId="0" fillId="0" borderId="0" xfId="0" applyAlignment="1"/>
    <xf numFmtId="0" fontId="49" fillId="0" borderId="0" xfId="0" applyFont="1" applyBorder="1"/>
    <xf numFmtId="0" fontId="49" fillId="0" borderId="0" xfId="0" applyFont="1" applyBorder="1" applyAlignment="1"/>
    <xf numFmtId="0" fontId="50" fillId="0" borderId="4" xfId="0" applyFont="1" applyBorder="1" applyAlignment="1"/>
    <xf numFmtId="0" fontId="18" fillId="0" borderId="5" xfId="0" applyFont="1" applyBorder="1" applyAlignment="1"/>
    <xf numFmtId="0" fontId="50" fillId="0" borderId="5" xfId="0" applyFont="1" applyBorder="1" applyAlignment="1"/>
    <xf numFmtId="0" fontId="50" fillId="0" borderId="7" xfId="0" applyFont="1" applyBorder="1" applyAlignment="1"/>
    <xf numFmtId="0" fontId="18" fillId="0" borderId="0" xfId="0" applyFont="1" applyBorder="1" applyAlignment="1"/>
    <xf numFmtId="0" fontId="50" fillId="0" borderId="0" xfId="0" applyFont="1" applyBorder="1" applyAlignment="1"/>
    <xf numFmtId="0" fontId="0" fillId="0" borderId="5" xfId="0" applyBorder="1"/>
    <xf numFmtId="0" fontId="18" fillId="0" borderId="0" xfId="3" applyFont="1"/>
    <xf numFmtId="0" fontId="58" fillId="0" borderId="0" xfId="3" applyFont="1" applyBorder="1" applyAlignment="1">
      <alignment horizontal="center"/>
    </xf>
    <xf numFmtId="0" fontId="37" fillId="0" borderId="16" xfId="3" applyFont="1" applyBorder="1" applyAlignment="1">
      <alignment horizontal="left" vertical="center"/>
    </xf>
    <xf numFmtId="0" fontId="37" fillId="0" borderId="17" xfId="3" applyNumberFormat="1" applyFont="1" applyBorder="1" applyAlignment="1">
      <alignment horizontal="center" vertical="center"/>
    </xf>
    <xf numFmtId="0" fontId="46" fillId="0" borderId="0" xfId="3" applyNumberFormat="1" applyFont="1" applyBorder="1" applyAlignment="1"/>
    <xf numFmtId="0" fontId="37" fillId="0" borderId="19" xfId="3" applyFont="1" applyBorder="1" applyAlignment="1">
      <alignment vertical="center"/>
    </xf>
    <xf numFmtId="168" fontId="37" fillId="0" borderId="20" xfId="3" applyNumberFormat="1" applyFont="1" applyBorder="1" applyAlignment="1">
      <alignment horizontal="center" vertical="center"/>
    </xf>
    <xf numFmtId="0" fontId="18" fillId="0" borderId="0" xfId="3" applyFont="1" applyBorder="1"/>
    <xf numFmtId="0" fontId="37" fillId="0" borderId="18" xfId="3" applyFont="1" applyBorder="1" applyAlignment="1">
      <alignment vertical="center"/>
    </xf>
    <xf numFmtId="168" fontId="37" fillId="0" borderId="28" xfId="3" applyNumberFormat="1" applyFont="1" applyBorder="1" applyAlignment="1">
      <alignment vertical="center"/>
    </xf>
    <xf numFmtId="0" fontId="23" fillId="0" borderId="29" xfId="3" applyFont="1" applyBorder="1" applyAlignment="1">
      <alignment vertical="center" wrapText="1"/>
    </xf>
    <xf numFmtId="0" fontId="23" fillId="0" borderId="31" xfId="3" applyFont="1" applyBorder="1" applyAlignment="1">
      <alignment vertical="center" wrapText="1"/>
    </xf>
    <xf numFmtId="2" fontId="12" fillId="0" borderId="0" xfId="0" applyNumberFormat="1" applyFont="1" applyBorder="1" applyAlignment="1">
      <alignment vertical="center"/>
    </xf>
    <xf numFmtId="0" fontId="18" fillId="0" borderId="0" xfId="3" applyFont="1" applyBorder="1" applyAlignment="1"/>
    <xf numFmtId="0" fontId="18" fillId="0" borderId="9" xfId="3" applyFont="1" applyBorder="1" applyAlignment="1"/>
    <xf numFmtId="0" fontId="37" fillId="0" borderId="1" xfId="3" applyFont="1" applyBorder="1" applyAlignment="1">
      <alignment vertical="center" wrapText="1"/>
    </xf>
    <xf numFmtId="0" fontId="18" fillId="0" borderId="1" xfId="3" applyFont="1" applyBorder="1"/>
    <xf numFmtId="0" fontId="37" fillId="0" borderId="34" xfId="3" applyFont="1" applyBorder="1" applyAlignment="1">
      <alignment horizontal="center"/>
    </xf>
    <xf numFmtId="0" fontId="37" fillId="0" borderId="0" xfId="3" applyFont="1" applyBorder="1" applyAlignment="1">
      <alignment horizontal="center"/>
    </xf>
    <xf numFmtId="0" fontId="37" fillId="0" borderId="0" xfId="3" applyFont="1" applyBorder="1" applyAlignment="1"/>
    <xf numFmtId="0" fontId="50" fillId="0" borderId="0" xfId="3" applyFont="1" applyBorder="1" applyAlignment="1"/>
    <xf numFmtId="0" fontId="4" fillId="0" borderId="0" xfId="9"/>
    <xf numFmtId="0" fontId="37" fillId="2" borderId="3" xfId="9" applyFont="1" applyFill="1" applyBorder="1" applyAlignment="1">
      <alignment horizontal="center" vertical="center"/>
    </xf>
    <xf numFmtId="0" fontId="37" fillId="2" borderId="12" xfId="9" applyFont="1" applyFill="1" applyBorder="1" applyAlignment="1">
      <alignment horizontal="center" vertical="center"/>
    </xf>
    <xf numFmtId="0" fontId="38" fillId="2" borderId="7" xfId="9" applyFont="1" applyFill="1" applyBorder="1" applyAlignment="1">
      <alignment horizontal="center" vertical="center"/>
    </xf>
    <xf numFmtId="0" fontId="38" fillId="2" borderId="8" xfId="9" applyFont="1" applyFill="1" applyBorder="1" applyAlignment="1">
      <alignment horizontal="center" vertical="center"/>
    </xf>
    <xf numFmtId="0" fontId="38" fillId="2" borderId="11" xfId="9" applyFont="1" applyFill="1" applyBorder="1" applyAlignment="1">
      <alignment horizontal="center" vertical="center"/>
    </xf>
    <xf numFmtId="0" fontId="38" fillId="2" borderId="0" xfId="9" applyFont="1" applyFill="1" applyBorder="1" applyAlignment="1">
      <alignment horizontal="center" vertical="center"/>
    </xf>
    <xf numFmtId="0" fontId="38" fillId="2" borderId="12" xfId="9" applyFont="1" applyFill="1" applyBorder="1" applyAlignment="1">
      <alignment horizontal="center" vertical="center"/>
    </xf>
    <xf numFmtId="164" fontId="38" fillId="2" borderId="12" xfId="9" applyNumberFormat="1" applyFont="1" applyFill="1" applyBorder="1" applyAlignment="1">
      <alignment horizontal="center" vertical="center"/>
    </xf>
    <xf numFmtId="0" fontId="63" fillId="2" borderId="0" xfId="9" applyFont="1" applyFill="1"/>
    <xf numFmtId="0" fontId="36" fillId="2" borderId="12" xfId="9" applyFont="1" applyFill="1" applyBorder="1" applyAlignment="1">
      <alignment horizontal="center" vertical="center"/>
    </xf>
    <xf numFmtId="2" fontId="36" fillId="2" borderId="12" xfId="9" applyNumberFormat="1" applyFont="1" applyFill="1" applyBorder="1" applyAlignment="1">
      <alignment horizontal="center" vertical="center"/>
    </xf>
    <xf numFmtId="164" fontId="36" fillId="2" borderId="12" xfId="9" applyNumberFormat="1" applyFont="1" applyFill="1" applyBorder="1" applyAlignment="1">
      <alignment horizontal="center" vertical="center"/>
    </xf>
    <xf numFmtId="1" fontId="36" fillId="2" borderId="12" xfId="9" applyNumberFormat="1" applyFont="1" applyFill="1" applyBorder="1" applyAlignment="1">
      <alignment horizontal="center" vertical="center"/>
    </xf>
    <xf numFmtId="165" fontId="36" fillId="2" borderId="12" xfId="9" applyNumberFormat="1" applyFont="1" applyFill="1" applyBorder="1" applyAlignment="1">
      <alignment horizontal="center" vertical="center"/>
    </xf>
    <xf numFmtId="0" fontId="34" fillId="2" borderId="0" xfId="9" applyFont="1" applyFill="1"/>
    <xf numFmtId="0" fontId="37" fillId="2" borderId="4" xfId="9" applyFont="1" applyFill="1" applyBorder="1"/>
    <xf numFmtId="0" fontId="37" fillId="2" borderId="5" xfId="9" applyFont="1" applyFill="1" applyBorder="1"/>
    <xf numFmtId="0" fontId="13" fillId="2" borderId="4" xfId="9" applyFont="1" applyFill="1" applyBorder="1"/>
    <xf numFmtId="0" fontId="13" fillId="2" borderId="5" xfId="9" applyFont="1" applyFill="1" applyBorder="1"/>
    <xf numFmtId="0" fontId="13" fillId="2" borderId="6" xfId="9" applyFont="1" applyFill="1" applyBorder="1"/>
    <xf numFmtId="0" fontId="37" fillId="2" borderId="7" xfId="9" applyFont="1" applyFill="1" applyBorder="1"/>
    <xf numFmtId="0" fontId="37" fillId="2" borderId="0" xfId="9" applyFont="1" applyFill="1" applyBorder="1"/>
    <xf numFmtId="0" fontId="37" fillId="2" borderId="2" xfId="9" applyFont="1" applyFill="1" applyBorder="1"/>
    <xf numFmtId="0" fontId="13" fillId="2" borderId="7" xfId="9" applyFont="1" applyFill="1" applyBorder="1"/>
    <xf numFmtId="0" fontId="13" fillId="2" borderId="0" xfId="9" applyFont="1" applyFill="1" applyBorder="1"/>
    <xf numFmtId="0" fontId="13" fillId="2" borderId="9" xfId="9" applyFont="1" applyFill="1" applyBorder="1"/>
    <xf numFmtId="0" fontId="13" fillId="2" borderId="10" xfId="9" applyFont="1" applyFill="1" applyBorder="1"/>
    <xf numFmtId="0" fontId="13" fillId="2" borderId="8" xfId="9" applyFont="1" applyFill="1" applyBorder="1"/>
    <xf numFmtId="0" fontId="37" fillId="2" borderId="10" xfId="9" applyFont="1" applyFill="1" applyBorder="1"/>
    <xf numFmtId="0" fontId="4" fillId="0" borderId="8" xfId="9" applyBorder="1" applyAlignment="1"/>
    <xf numFmtId="0" fontId="34" fillId="0" borderId="0" xfId="9" applyFont="1" applyBorder="1"/>
    <xf numFmtId="14" fontId="34" fillId="0" borderId="3" xfId="9" applyNumberFormat="1" applyFont="1" applyBorder="1" applyAlignment="1">
      <alignment horizontal="center"/>
    </xf>
    <xf numFmtId="14" fontId="34" fillId="0" borderId="6" xfId="9" applyNumberFormat="1" applyFont="1" applyBorder="1" applyAlignment="1">
      <alignment horizontal="center"/>
    </xf>
    <xf numFmtId="0" fontId="4" fillId="0" borderId="8" xfId="9" applyBorder="1"/>
    <xf numFmtId="0" fontId="4" fillId="0" borderId="3" xfId="9" applyBorder="1"/>
    <xf numFmtId="0" fontId="34" fillId="0" borderId="4" xfId="9" applyFont="1" applyBorder="1"/>
    <xf numFmtId="0" fontId="4" fillId="0" borderId="2" xfId="9" applyBorder="1"/>
    <xf numFmtId="0" fontId="34" fillId="0" borderId="7" xfId="9" applyFont="1" applyBorder="1"/>
    <xf numFmtId="0" fontId="4" fillId="0" borderId="0" xfId="9" applyBorder="1"/>
    <xf numFmtId="0" fontId="34" fillId="0" borderId="1" xfId="9" applyFont="1" applyBorder="1"/>
    <xf numFmtId="0" fontId="34" fillId="0" borderId="2" xfId="9" applyFont="1" applyBorder="1"/>
    <xf numFmtId="0" fontId="24" fillId="0" borderId="12" xfId="9" applyFont="1" applyBorder="1"/>
    <xf numFmtId="0" fontId="4" fillId="0" borderId="7" xfId="9" applyBorder="1"/>
    <xf numFmtId="0" fontId="4" fillId="0" borderId="9" xfId="9" applyBorder="1"/>
    <xf numFmtId="0" fontId="34" fillId="2" borderId="12" xfId="9" applyFont="1" applyFill="1" applyBorder="1"/>
    <xf numFmtId="164" fontId="37" fillId="2" borderId="12" xfId="9" applyNumberFormat="1" applyFont="1" applyFill="1" applyBorder="1" applyAlignment="1">
      <alignment horizontal="center"/>
    </xf>
    <xf numFmtId="1" fontId="37" fillId="2" borderId="12" xfId="9" applyNumberFormat="1" applyFont="1" applyFill="1" applyBorder="1" applyAlignment="1">
      <alignment horizontal="center"/>
    </xf>
    <xf numFmtId="0" fontId="34" fillId="2" borderId="12" xfId="9" applyFont="1" applyFill="1" applyBorder="1" applyAlignment="1">
      <alignment vertical="center" wrapText="1"/>
    </xf>
    <xf numFmtId="1" fontId="37" fillId="2" borderId="12" xfId="9" applyNumberFormat="1" applyFont="1" applyFill="1" applyBorder="1" applyAlignment="1">
      <alignment horizontal="center" wrapText="1"/>
    </xf>
    <xf numFmtId="0" fontId="37" fillId="2" borderId="12" xfId="9" applyFont="1" applyFill="1" applyBorder="1" applyAlignment="1">
      <alignment horizontal="center" vertical="center" wrapText="1"/>
    </xf>
    <xf numFmtId="164" fontId="37" fillId="2" borderId="12" xfId="9" applyNumberFormat="1" applyFont="1" applyFill="1" applyBorder="1" applyAlignment="1">
      <alignment horizontal="center" vertical="center" wrapText="1"/>
    </xf>
    <xf numFmtId="0" fontId="4" fillId="0" borderId="1" xfId="9" applyBorder="1"/>
    <xf numFmtId="0" fontId="4" fillId="0" borderId="5" xfId="9" applyBorder="1"/>
    <xf numFmtId="0" fontId="62" fillId="0" borderId="5" xfId="9" applyFont="1" applyFill="1" applyBorder="1"/>
    <xf numFmtId="0" fontId="61" fillId="0" borderId="5" xfId="9" applyFont="1" applyFill="1" applyBorder="1"/>
    <xf numFmtId="0" fontId="4" fillId="0" borderId="6" xfId="9" applyBorder="1"/>
    <xf numFmtId="0" fontId="34" fillId="2" borderId="0" xfId="9" applyFont="1" applyFill="1" applyBorder="1" applyAlignment="1">
      <alignment horizontal="center"/>
    </xf>
    <xf numFmtId="0" fontId="62" fillId="2" borderId="0" xfId="9" applyFont="1" applyFill="1"/>
    <xf numFmtId="164" fontId="36" fillId="2" borderId="12" xfId="10" applyNumberFormat="1" applyFont="1" applyFill="1" applyBorder="1" applyAlignment="1">
      <alignment horizontal="center" vertical="center"/>
    </xf>
    <xf numFmtId="0" fontId="3" fillId="0" borderId="0" xfId="11"/>
    <xf numFmtId="0" fontId="34" fillId="0" borderId="7" xfId="11" applyFont="1" applyBorder="1"/>
    <xf numFmtId="15" fontId="34" fillId="0" borderId="9" xfId="11" applyNumberFormat="1" applyFont="1" applyBorder="1" applyAlignment="1">
      <alignment horizontal="center"/>
    </xf>
    <xf numFmtId="0" fontId="50" fillId="0" borderId="4" xfId="11" applyFont="1" applyBorder="1" applyAlignment="1">
      <alignment horizontal="center" vertical="center" wrapText="1"/>
    </xf>
    <xf numFmtId="0" fontId="50" fillId="0" borderId="5" xfId="11" applyFont="1" applyBorder="1" applyAlignment="1">
      <alignment horizontal="left" vertical="center" wrapText="1"/>
    </xf>
    <xf numFmtId="0" fontId="34" fillId="0" borderId="5" xfId="11" applyFont="1" applyBorder="1"/>
    <xf numFmtId="15" fontId="34" fillId="0" borderId="6" xfId="11" applyNumberFormat="1" applyFont="1" applyBorder="1" applyAlignment="1">
      <alignment horizontal="center"/>
    </xf>
    <xf numFmtId="0" fontId="50" fillId="0" borderId="7" xfId="11" applyFont="1" applyBorder="1" applyAlignment="1">
      <alignment horizontal="center" vertical="center" wrapText="1"/>
    </xf>
    <xf numFmtId="0" fontId="50" fillId="0" borderId="0" xfId="11" applyFont="1" applyBorder="1" applyAlignment="1">
      <alignment horizontal="left" vertical="center" wrapText="1"/>
    </xf>
    <xf numFmtId="0" fontId="34" fillId="0" borderId="0" xfId="11" applyFont="1" applyBorder="1"/>
    <xf numFmtId="0" fontId="3" fillId="0" borderId="7" xfId="11" applyBorder="1"/>
    <xf numFmtId="0" fontId="3" fillId="0" borderId="0" xfId="11" applyBorder="1"/>
    <xf numFmtId="0" fontId="3" fillId="0" borderId="9" xfId="11" applyBorder="1"/>
    <xf numFmtId="0" fontId="69" fillId="0" borderId="38" xfId="11" applyFont="1" applyBorder="1" applyAlignment="1">
      <alignment horizontal="center" vertical="center"/>
    </xf>
    <xf numFmtId="0" fontId="69" fillId="0" borderId="39" xfId="11" applyFont="1" applyBorder="1" applyAlignment="1">
      <alignment horizontal="center" vertical="center"/>
    </xf>
    <xf numFmtId="0" fontId="3" fillId="0" borderId="41" xfId="11" applyBorder="1" applyAlignment="1">
      <alignment horizontal="center" vertical="center"/>
    </xf>
    <xf numFmtId="0" fontId="3" fillId="0" borderId="42" xfId="11" applyBorder="1" applyAlignment="1">
      <alignment horizontal="center" vertical="center"/>
    </xf>
    <xf numFmtId="0" fontId="3" fillId="0" borderId="10" xfId="11" applyBorder="1"/>
    <xf numFmtId="0" fontId="3" fillId="0" borderId="8" xfId="11" applyBorder="1"/>
    <xf numFmtId="0" fontId="3" fillId="0" borderId="11" xfId="11" applyBorder="1"/>
    <xf numFmtId="0" fontId="24" fillId="0" borderId="7" xfId="11" applyFont="1" applyBorder="1" applyAlignment="1">
      <alignment horizontal="center" readingOrder="1"/>
    </xf>
    <xf numFmtId="0" fontId="24" fillId="0" borderId="0" xfId="11" applyFont="1" applyBorder="1" applyAlignment="1">
      <alignment horizontal="center" readingOrder="1"/>
    </xf>
    <xf numFmtId="0" fontId="24" fillId="0" borderId="9" xfId="11" applyFont="1" applyBorder="1" applyAlignment="1">
      <alignment horizontal="center" readingOrder="1"/>
    </xf>
    <xf numFmtId="0" fontId="3" fillId="0" borderId="5" xfId="11" applyBorder="1"/>
    <xf numFmtId="0" fontId="4" fillId="2" borderId="0" xfId="9" applyFill="1"/>
    <xf numFmtId="0" fontId="34" fillId="2" borderId="0" xfId="9" applyFont="1" applyFill="1" applyBorder="1"/>
    <xf numFmtId="14" fontId="34" fillId="2" borderId="3" xfId="9" applyNumberFormat="1" applyFont="1" applyFill="1" applyBorder="1" applyAlignment="1">
      <alignment horizontal="center"/>
    </xf>
    <xf numFmtId="14" fontId="34" fillId="2" borderId="6" xfId="9" applyNumberFormat="1" applyFont="1" applyFill="1" applyBorder="1" applyAlignment="1">
      <alignment horizontal="center"/>
    </xf>
    <xf numFmtId="0" fontId="4" fillId="2" borderId="8" xfId="9" applyFill="1" applyBorder="1"/>
    <xf numFmtId="0" fontId="4" fillId="2" borderId="3" xfId="9" applyFill="1" applyBorder="1"/>
    <xf numFmtId="0" fontId="34" fillId="2" borderId="0" xfId="9" applyFont="1" applyFill="1" applyBorder="1" applyAlignment="1">
      <alignment horizontal="center" vertical="center" wrapText="1"/>
    </xf>
    <xf numFmtId="0" fontId="63" fillId="2" borderId="0" xfId="9" applyFont="1" applyFill="1" applyBorder="1" applyAlignment="1">
      <alignment vertical="center" wrapText="1"/>
    </xf>
    <xf numFmtId="0" fontId="4" fillId="2" borderId="0" xfId="9" applyFill="1" applyBorder="1"/>
    <xf numFmtId="0" fontId="64" fillId="2" borderId="12" xfId="9" applyFont="1" applyFill="1" applyBorder="1" applyAlignment="1">
      <alignment horizontal="center" vertical="center" wrapText="1"/>
    </xf>
    <xf numFmtId="0" fontId="24" fillId="2" borderId="12" xfId="9" applyFont="1" applyFill="1" applyBorder="1" applyAlignment="1">
      <alignment horizontal="center" vertical="center" wrapText="1"/>
    </xf>
    <xf numFmtId="0" fontId="64" fillId="2" borderId="0" xfId="9" applyFont="1" applyFill="1" applyAlignment="1">
      <alignment horizontal="center" vertical="center" wrapText="1"/>
    </xf>
    <xf numFmtId="0" fontId="4" fillId="2" borderId="0" xfId="9" applyFill="1" applyAlignment="1">
      <alignment vertical="center"/>
    </xf>
    <xf numFmtId="0" fontId="4" fillId="2" borderId="7" xfId="9" applyFill="1" applyBorder="1"/>
    <xf numFmtId="0" fontId="4" fillId="2" borderId="9" xfId="9" applyFill="1" applyBorder="1"/>
    <xf numFmtId="1" fontId="23" fillId="2" borderId="12" xfId="7" applyNumberFormat="1" applyFont="1" applyFill="1" applyBorder="1" applyAlignment="1">
      <alignment horizontal="center" vertical="center"/>
    </xf>
    <xf numFmtId="0" fontId="13" fillId="2" borderId="0" xfId="7" applyFont="1" applyFill="1" applyAlignment="1">
      <alignment horizontal="center" vertical="center"/>
    </xf>
    <xf numFmtId="0" fontId="23" fillId="2" borderId="12" xfId="7" applyFont="1" applyFill="1" applyBorder="1" applyAlignment="1">
      <alignment horizontal="center" vertical="center"/>
    </xf>
    <xf numFmtId="0" fontId="23" fillId="2" borderId="12" xfId="7" applyFont="1" applyFill="1" applyBorder="1" applyAlignment="1">
      <alignment horizontal="center" vertical="center" wrapText="1"/>
    </xf>
    <xf numFmtId="1" fontId="23" fillId="2" borderId="12" xfId="7" applyNumberFormat="1" applyFont="1" applyFill="1" applyBorder="1" applyAlignment="1">
      <alignment horizontal="center" vertical="center" wrapText="1"/>
    </xf>
    <xf numFmtId="164" fontId="23" fillId="2" borderId="12" xfId="7" applyNumberFormat="1" applyFont="1" applyFill="1" applyBorder="1" applyAlignment="1">
      <alignment horizontal="center" vertical="center" wrapText="1"/>
    </xf>
    <xf numFmtId="0" fontId="37" fillId="2" borderId="12" xfId="7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2" fontId="23" fillId="2" borderId="12" xfId="7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" fontId="10" fillId="2" borderId="12" xfId="7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right" vertical="center" indent="8"/>
    </xf>
    <xf numFmtId="0" fontId="10" fillId="0" borderId="5" xfId="0" applyNumberFormat="1" applyFont="1" applyBorder="1" applyAlignment="1">
      <alignment horizontal="right" vertical="center" indent="8"/>
    </xf>
    <xf numFmtId="0" fontId="10" fillId="0" borderId="7" xfId="0" applyFont="1" applyBorder="1"/>
    <xf numFmtId="0" fontId="10" fillId="0" borderId="4" xfId="0" applyFont="1" applyBorder="1"/>
    <xf numFmtId="0" fontId="10" fillId="0" borderId="0" xfId="0" applyFont="1" applyBorder="1" applyAlignment="1">
      <alignment horizontal="center" vertical="center" textRotation="90" wrapText="1"/>
    </xf>
    <xf numFmtId="0" fontId="10" fillId="0" borderId="10" xfId="0" applyFont="1" applyBorder="1"/>
    <xf numFmtId="0" fontId="13" fillId="0" borderId="0" xfId="0" applyFont="1" applyBorder="1"/>
    <xf numFmtId="0" fontId="10" fillId="0" borderId="8" xfId="0" applyFont="1" applyBorder="1" applyAlignment="1">
      <alignment horizontal="left" vertical="center" indent="1"/>
    </xf>
    <xf numFmtId="0" fontId="11" fillId="0" borderId="8" xfId="0" applyFont="1" applyBorder="1"/>
    <xf numFmtId="0" fontId="75" fillId="0" borderId="8" xfId="0" applyFont="1" applyBorder="1"/>
    <xf numFmtId="0" fontId="78" fillId="0" borderId="5" xfId="12" quotePrefix="1" applyFont="1" applyBorder="1" applyAlignment="1" applyProtection="1"/>
    <xf numFmtId="0" fontId="78" fillId="0" borderId="0" xfId="12" quotePrefix="1" applyFont="1" applyBorder="1" applyAlignment="1" applyProtection="1"/>
    <xf numFmtId="0" fontId="13" fillId="0" borderId="12" xfId="0" applyFont="1" applyBorder="1"/>
    <xf numFmtId="1" fontId="19" fillId="0" borderId="12" xfId="1" applyNumberFormat="1" applyFont="1" applyBorder="1" applyAlignment="1">
      <alignment horizontal="center"/>
    </xf>
    <xf numFmtId="0" fontId="11" fillId="0" borderId="0" xfId="0" applyNumberFormat="1" applyFont="1" applyBorder="1"/>
    <xf numFmtId="2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12" xfId="0" applyFont="1" applyBorder="1"/>
    <xf numFmtId="164" fontId="10" fillId="0" borderId="12" xfId="0" applyNumberFormat="1" applyFont="1" applyBorder="1" applyAlignment="1">
      <alignment horizontal="center"/>
    </xf>
    <xf numFmtId="0" fontId="0" fillId="2" borderId="0" xfId="0" applyFill="1"/>
    <xf numFmtId="0" fontId="17" fillId="0" borderId="7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1" fillId="0" borderId="9" xfId="0" applyFont="1" applyBorder="1" applyAlignment="1">
      <alignment vertical="top" wrapText="1"/>
    </xf>
    <xf numFmtId="0" fontId="9" fillId="0" borderId="2" xfId="0" applyFont="1" applyBorder="1"/>
    <xf numFmtId="0" fontId="22" fillId="0" borderId="5" xfId="0" applyFont="1" applyBorder="1"/>
    <xf numFmtId="0" fontId="24" fillId="0" borderId="0" xfId="9" applyFont="1" applyAlignment="1">
      <alignment horizontal="left"/>
    </xf>
    <xf numFmtId="0" fontId="79" fillId="2" borderId="0" xfId="9" applyFont="1" applyFill="1"/>
    <xf numFmtId="0" fontId="44" fillId="2" borderId="0" xfId="9" applyFont="1" applyFill="1"/>
    <xf numFmtId="0" fontId="2" fillId="2" borderId="0" xfId="9" applyFont="1" applyFill="1"/>
    <xf numFmtId="0" fontId="13" fillId="2" borderId="11" xfId="9" applyFont="1" applyFill="1" applyBorder="1"/>
    <xf numFmtId="0" fontId="34" fillId="2" borderId="12" xfId="9" applyFont="1" applyFill="1" applyBorder="1" applyAlignment="1">
      <alignment horizontal="center" vertical="center"/>
    </xf>
    <xf numFmtId="164" fontId="34" fillId="2" borderId="12" xfId="9" applyNumberFormat="1" applyFont="1" applyFill="1" applyBorder="1" applyAlignment="1">
      <alignment horizontal="center" vertical="center"/>
    </xf>
    <xf numFmtId="2" fontId="34" fillId="2" borderId="12" xfId="9" applyNumberFormat="1" applyFont="1" applyFill="1" applyBorder="1" applyAlignment="1">
      <alignment horizontal="center" vertical="center"/>
    </xf>
    <xf numFmtId="1" fontId="34" fillId="2" borderId="12" xfId="9" applyNumberFormat="1" applyFont="1" applyFill="1" applyBorder="1" applyAlignment="1">
      <alignment horizontal="center" vertical="center"/>
    </xf>
    <xf numFmtId="1" fontId="62" fillId="2" borderId="12" xfId="9" applyNumberFormat="1" applyFont="1" applyFill="1" applyBorder="1" applyAlignment="1">
      <alignment horizontal="center" vertical="center"/>
    </xf>
    <xf numFmtId="0" fontId="62" fillId="2" borderId="12" xfId="9" applyFont="1" applyFill="1" applyBorder="1" applyAlignment="1">
      <alignment horizontal="center" vertical="center"/>
    </xf>
    <xf numFmtId="2" fontId="62" fillId="2" borderId="12" xfId="9" applyNumberFormat="1" applyFont="1" applyFill="1" applyBorder="1" applyAlignment="1">
      <alignment horizontal="center" vertical="center"/>
    </xf>
    <xf numFmtId="164" fontId="62" fillId="2" borderId="12" xfId="10" applyNumberFormat="1" applyFont="1" applyFill="1" applyBorder="1" applyAlignment="1">
      <alignment horizontal="center" vertical="center"/>
    </xf>
    <xf numFmtId="164" fontId="62" fillId="2" borderId="12" xfId="9" applyNumberFormat="1" applyFont="1" applyFill="1" applyBorder="1" applyAlignment="1">
      <alignment horizontal="center" vertical="center"/>
    </xf>
    <xf numFmtId="1" fontId="23" fillId="2" borderId="12" xfId="7" applyNumberFormat="1" applyFont="1" applyFill="1" applyBorder="1" applyAlignment="1">
      <alignment horizontal="center" vertical="center"/>
    </xf>
    <xf numFmtId="0" fontId="23" fillId="2" borderId="12" xfId="7" applyFont="1" applyFill="1" applyBorder="1" applyAlignment="1">
      <alignment horizontal="center" vertical="center"/>
    </xf>
    <xf numFmtId="0" fontId="23" fillId="2" borderId="12" xfId="7" applyFont="1" applyFill="1" applyBorder="1" applyAlignment="1">
      <alignment horizontal="center" vertical="center" wrapText="1"/>
    </xf>
    <xf numFmtId="0" fontId="81" fillId="0" borderId="0" xfId="0" applyFont="1" applyBorder="1"/>
    <xf numFmtId="165" fontId="12" fillId="0" borderId="0" xfId="0" applyNumberFormat="1" applyFont="1" applyBorder="1"/>
    <xf numFmtId="0" fontId="13" fillId="2" borderId="2" xfId="9" applyFont="1" applyFill="1" applyBorder="1"/>
    <xf numFmtId="1" fontId="11" fillId="0" borderId="13" xfId="0" applyNumberFormat="1" applyFont="1" applyBorder="1" applyAlignment="1">
      <alignment horizontal="center"/>
    </xf>
    <xf numFmtId="0" fontId="19" fillId="0" borderId="5" xfId="0" applyFont="1" applyBorder="1"/>
    <xf numFmtId="0" fontId="19" fillId="0" borderId="6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2" fontId="71" fillId="2" borderId="12" xfId="7" applyNumberFormat="1" applyFont="1" applyFill="1" applyBorder="1" applyAlignment="1">
      <alignment horizontal="center" vertical="center"/>
    </xf>
    <xf numFmtId="1" fontId="71" fillId="2" borderId="12" xfId="7" applyNumberFormat="1" applyFont="1" applyFill="1" applyBorder="1" applyAlignment="1">
      <alignment horizontal="center" vertical="center"/>
    </xf>
    <xf numFmtId="0" fontId="71" fillId="2" borderId="12" xfId="7" applyFont="1" applyFill="1" applyBorder="1" applyAlignment="1">
      <alignment horizontal="center" vertical="center"/>
    </xf>
    <xf numFmtId="0" fontId="80" fillId="2" borderId="0" xfId="7" applyFont="1" applyFill="1" applyAlignment="1">
      <alignment horizontal="center" vertical="center"/>
    </xf>
    <xf numFmtId="2" fontId="80" fillId="2" borderId="0" xfId="7" applyNumberFormat="1" applyFont="1" applyFill="1" applyAlignment="1">
      <alignment horizontal="right" vertical="center"/>
    </xf>
    <xf numFmtId="2" fontId="82" fillId="2" borderId="12" xfId="7" applyNumberFormat="1" applyFont="1" applyFill="1" applyBorder="1" applyAlignment="1">
      <alignment horizontal="center" vertical="center" wrapText="1"/>
    </xf>
    <xf numFmtId="2" fontId="13" fillId="2" borderId="0" xfId="7" applyNumberFormat="1" applyFont="1" applyFill="1" applyAlignment="1">
      <alignment vertical="center"/>
    </xf>
    <xf numFmtId="0" fontId="13" fillId="2" borderId="7" xfId="7" applyFont="1" applyFill="1" applyBorder="1" applyAlignment="1">
      <alignment vertical="center"/>
    </xf>
    <xf numFmtId="2" fontId="38" fillId="2" borderId="12" xfId="7" applyNumberFormat="1" applyFont="1" applyFill="1" applyBorder="1" applyAlignment="1">
      <alignment horizontal="center" vertical="center" wrapText="1"/>
    </xf>
    <xf numFmtId="0" fontId="38" fillId="2" borderId="12" xfId="7" applyFont="1" applyFill="1" applyBorder="1" applyAlignment="1">
      <alignment horizontal="center" vertical="center" wrapText="1"/>
    </xf>
    <xf numFmtId="0" fontId="40" fillId="0" borderId="12" xfId="5" applyFont="1" applyBorder="1" applyAlignment="1">
      <alignment vertical="top" wrapText="1"/>
    </xf>
    <xf numFmtId="1" fontId="25" fillId="0" borderId="12" xfId="5" applyNumberFormat="1" applyFont="1" applyBorder="1"/>
    <xf numFmtId="0" fontId="80" fillId="0" borderId="0" xfId="11" applyFont="1" applyBorder="1"/>
    <xf numFmtId="0" fontId="13" fillId="2" borderId="8" xfId="9" applyFont="1" applyFill="1" applyBorder="1" applyAlignment="1"/>
    <xf numFmtId="0" fontId="13" fillId="2" borderId="8" xfId="9" applyFont="1" applyFill="1" applyBorder="1" applyAlignment="1">
      <alignment horizontal="left"/>
    </xf>
    <xf numFmtId="0" fontId="34" fillId="2" borderId="4" xfId="9" applyFont="1" applyFill="1" applyBorder="1" applyAlignment="1"/>
    <xf numFmtId="17" fontId="34" fillId="2" borderId="6" xfId="9" applyNumberFormat="1" applyFont="1" applyFill="1" applyBorder="1" applyAlignment="1">
      <alignment horizontal="center"/>
    </xf>
    <xf numFmtId="0" fontId="34" fillId="0" borderId="4" xfId="9" applyFont="1" applyBorder="1" applyAlignment="1"/>
    <xf numFmtId="17" fontId="34" fillId="0" borderId="6" xfId="9" applyNumberFormat="1" applyFont="1" applyBorder="1" applyAlignment="1">
      <alignment horizontal="center"/>
    </xf>
    <xf numFmtId="164" fontId="23" fillId="0" borderId="0" xfId="5" applyNumberFormat="1" applyFont="1" applyAlignment="1">
      <alignment horizontal="center"/>
    </xf>
    <xf numFmtId="164" fontId="71" fillId="0" borderId="12" xfId="5" applyNumberFormat="1" applyFont="1" applyBorder="1" applyAlignment="1">
      <alignment horizontal="center" vertical="center"/>
    </xf>
    <xf numFmtId="0" fontId="23" fillId="0" borderId="9" xfId="5" applyFont="1" applyBorder="1" applyAlignment="1">
      <alignment horizontal="center" vertical="top"/>
    </xf>
    <xf numFmtId="0" fontId="25" fillId="2" borderId="12" xfId="7" applyFont="1" applyFill="1" applyBorder="1" applyAlignment="1">
      <alignment horizontal="center" vertical="center"/>
    </xf>
    <xf numFmtId="164" fontId="25" fillId="2" borderId="12" xfId="7" applyNumberFormat="1" applyFont="1" applyFill="1" applyBorder="1" applyAlignment="1">
      <alignment horizontal="center" vertical="center"/>
    </xf>
    <xf numFmtId="164" fontId="23" fillId="0" borderId="12" xfId="5" applyNumberFormat="1" applyFont="1" applyBorder="1" applyAlignment="1">
      <alignment horizontal="center" vertical="center"/>
    </xf>
    <xf numFmtId="164" fontId="32" fillId="2" borderId="12" xfId="9" applyNumberFormat="1" applyFont="1" applyFill="1" applyBorder="1" applyAlignment="1">
      <alignment horizontal="center" vertical="center"/>
    </xf>
    <xf numFmtId="164" fontId="83" fillId="2" borderId="12" xfId="9" applyNumberFormat="1" applyFont="1" applyFill="1" applyBorder="1" applyAlignment="1">
      <alignment horizontal="center" vertical="center"/>
    </xf>
    <xf numFmtId="0" fontId="83" fillId="2" borderId="12" xfId="9" applyFont="1" applyFill="1" applyBorder="1" applyAlignment="1">
      <alignment horizontal="center" vertical="center"/>
    </xf>
    <xf numFmtId="164" fontId="86" fillId="2" borderId="12" xfId="9" applyNumberFormat="1" applyFont="1" applyFill="1" applyBorder="1" applyAlignment="1">
      <alignment horizontal="center" vertical="center"/>
    </xf>
    <xf numFmtId="0" fontId="86" fillId="2" borderId="12" xfId="9" applyFont="1" applyFill="1" applyBorder="1" applyAlignment="1">
      <alignment horizontal="center" vertical="center"/>
    </xf>
    <xf numFmtId="2" fontId="83" fillId="2" borderId="12" xfId="9" applyNumberFormat="1" applyFont="1" applyFill="1" applyBorder="1" applyAlignment="1">
      <alignment horizontal="center" vertical="center"/>
    </xf>
    <xf numFmtId="165" fontId="83" fillId="2" borderId="12" xfId="9" applyNumberFormat="1" applyFont="1" applyFill="1" applyBorder="1" applyAlignment="1">
      <alignment horizontal="center" vertical="center"/>
    </xf>
    <xf numFmtId="164" fontId="34" fillId="2" borderId="0" xfId="9" applyNumberFormat="1" applyFont="1" applyFill="1" applyBorder="1" applyAlignment="1">
      <alignment horizontal="center"/>
    </xf>
    <xf numFmtId="164" fontId="2" fillId="2" borderId="0" xfId="9" applyNumberFormat="1" applyFont="1" applyFill="1" applyBorder="1" applyAlignment="1">
      <alignment horizontal="center"/>
    </xf>
    <xf numFmtId="164" fontId="37" fillId="2" borderId="12" xfId="9" applyNumberFormat="1" applyFont="1" applyFill="1" applyBorder="1" applyAlignment="1">
      <alignment horizontal="center" vertical="center"/>
    </xf>
    <xf numFmtId="164" fontId="36" fillId="2" borderId="12" xfId="9" applyNumberFormat="1" applyFont="1" applyFill="1" applyBorder="1" applyAlignment="1" applyProtection="1">
      <alignment horizontal="center" vertical="center"/>
      <protection locked="0"/>
    </xf>
    <xf numFmtId="164" fontId="62" fillId="2" borderId="12" xfId="9" applyNumberFormat="1" applyFont="1" applyFill="1" applyBorder="1" applyAlignment="1" applyProtection="1">
      <alignment horizontal="center" vertical="center"/>
      <protection locked="0"/>
    </xf>
    <xf numFmtId="164" fontId="13" fillId="2" borderId="8" xfId="9" applyNumberFormat="1" applyFont="1" applyFill="1" applyBorder="1"/>
    <xf numFmtId="164" fontId="2" fillId="2" borderId="0" xfId="9" applyNumberFormat="1" applyFont="1" applyFill="1"/>
    <xf numFmtId="0" fontId="38" fillId="2" borderId="12" xfId="9" applyFont="1" applyFill="1" applyBorder="1" applyAlignment="1">
      <alignment horizontal="center" vertical="center" wrapText="1"/>
    </xf>
    <xf numFmtId="0" fontId="38" fillId="2" borderId="12" xfId="9" applyFont="1" applyFill="1" applyBorder="1" applyAlignment="1">
      <alignment horizontal="center" vertical="center" textRotation="90" wrapText="1"/>
    </xf>
    <xf numFmtId="0" fontId="13" fillId="2" borderId="8" xfId="9" applyFont="1" applyFill="1" applyBorder="1" applyAlignment="1">
      <alignment horizontal="center"/>
    </xf>
    <xf numFmtId="0" fontId="2" fillId="2" borderId="0" xfId="9" applyFont="1" applyFill="1" applyBorder="1" applyAlignment="1">
      <alignment horizontal="center"/>
    </xf>
    <xf numFmtId="0" fontId="38" fillId="2" borderId="13" xfId="9" applyFont="1" applyFill="1" applyBorder="1" applyAlignment="1">
      <alignment horizontal="center" vertical="center" textRotation="90" wrapText="1"/>
    </xf>
    <xf numFmtId="0" fontId="23" fillId="0" borderId="1" xfId="5" applyFont="1" applyBorder="1" applyAlignment="1">
      <alignment horizontal="center"/>
    </xf>
    <xf numFmtId="0" fontId="23" fillId="0" borderId="2" xfId="5" applyFont="1" applyBorder="1" applyAlignment="1">
      <alignment horizontal="center"/>
    </xf>
    <xf numFmtId="0" fontId="23" fillId="0" borderId="3" xfId="5" applyFont="1" applyBorder="1" applyAlignment="1">
      <alignment horizontal="center"/>
    </xf>
    <xf numFmtId="0" fontId="25" fillId="0" borderId="10" xfId="5" applyFont="1" applyBorder="1" applyAlignment="1">
      <alignment horizontal="center"/>
    </xf>
    <xf numFmtId="0" fontId="25" fillId="0" borderId="8" xfId="5" applyFont="1" applyBorder="1" applyAlignment="1">
      <alignment horizontal="center"/>
    </xf>
    <xf numFmtId="0" fontId="25" fillId="0" borderId="11" xfId="5" applyFont="1" applyBorder="1" applyAlignment="1">
      <alignment horizontal="center"/>
    </xf>
    <xf numFmtId="0" fontId="23" fillId="0" borderId="1" xfId="5" applyFont="1" applyBorder="1" applyAlignment="1">
      <alignment horizontal="left"/>
    </xf>
    <xf numFmtId="0" fontId="23" fillId="0" borderId="3" xfId="5" applyFont="1" applyBorder="1" applyAlignment="1">
      <alignment horizontal="left"/>
    </xf>
    <xf numFmtId="0" fontId="25" fillId="0" borderId="1" xfId="5" applyFont="1" applyBorder="1" applyAlignment="1">
      <alignment horizontal="center"/>
    </xf>
    <xf numFmtId="0" fontId="25" fillId="0" borderId="2" xfId="5" applyFont="1" applyBorder="1" applyAlignment="1">
      <alignment horizontal="center"/>
    </xf>
    <xf numFmtId="0" fontId="25" fillId="0" borderId="3" xfId="5" applyFont="1" applyBorder="1" applyAlignment="1">
      <alignment horizontal="center"/>
    </xf>
    <xf numFmtId="0" fontId="30" fillId="0" borderId="12" xfId="5" applyFont="1" applyBorder="1" applyAlignment="1">
      <alignment horizontal="center"/>
    </xf>
    <xf numFmtId="0" fontId="30" fillId="0" borderId="12" xfId="5" applyFont="1" applyBorder="1" applyAlignment="1">
      <alignment horizontal="center" vertical="top"/>
    </xf>
    <xf numFmtId="0" fontId="33" fillId="0" borderId="10" xfId="5" applyFont="1" applyBorder="1" applyAlignment="1">
      <alignment horizontal="center" vertical="center"/>
    </xf>
    <xf numFmtId="0" fontId="33" fillId="0" borderId="8" xfId="5" applyFont="1" applyBorder="1" applyAlignment="1">
      <alignment horizontal="center" vertical="center"/>
    </xf>
    <xf numFmtId="0" fontId="30" fillId="0" borderId="13" xfId="5" applyFont="1" applyBorder="1" applyAlignment="1">
      <alignment horizontal="center"/>
    </xf>
    <xf numFmtId="0" fontId="30" fillId="0" borderId="15" xfId="5" applyFont="1" applyBorder="1" applyAlignment="1">
      <alignment horizontal="center"/>
    </xf>
    <xf numFmtId="0" fontId="30" fillId="0" borderId="14" xfId="5" applyFont="1" applyBorder="1" applyAlignment="1">
      <alignment horizontal="center"/>
    </xf>
    <xf numFmtId="0" fontId="24" fillId="0" borderId="1" xfId="5" applyFont="1" applyBorder="1" applyAlignment="1">
      <alignment horizontal="center" vertical="center"/>
    </xf>
    <xf numFmtId="0" fontId="24" fillId="0" borderId="2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/>
    </xf>
    <xf numFmtId="0" fontId="30" fillId="0" borderId="2" xfId="5" applyFont="1" applyBorder="1" applyAlignment="1">
      <alignment horizontal="center"/>
    </xf>
    <xf numFmtId="0" fontId="30" fillId="0" borderId="3" xfId="5" applyFont="1" applyBorder="1" applyAlignment="1">
      <alignment horizontal="center"/>
    </xf>
    <xf numFmtId="0" fontId="31" fillId="0" borderId="1" xfId="5" applyFont="1" applyBorder="1" applyAlignment="1">
      <alignment horizontal="center"/>
    </xf>
    <xf numFmtId="0" fontId="31" fillId="0" borderId="3" xfId="5" applyFont="1" applyBorder="1" applyAlignment="1">
      <alignment horizontal="center"/>
    </xf>
    <xf numFmtId="0" fontId="23" fillId="0" borderId="12" xfId="5" applyFont="1" applyBorder="1" applyAlignment="1">
      <alignment horizontal="center" wrapText="1"/>
    </xf>
    <xf numFmtId="0" fontId="25" fillId="0" borderId="12" xfId="5" applyFont="1" applyBorder="1" applyAlignment="1">
      <alignment horizontal="center" vertical="center" wrapText="1"/>
    </xf>
    <xf numFmtId="0" fontId="30" fillId="0" borderId="4" xfId="5" applyFont="1" applyBorder="1" applyAlignment="1">
      <alignment horizontal="center" vertical="top"/>
    </xf>
    <xf numFmtId="0" fontId="30" fillId="0" borderId="6" xfId="5" applyFont="1" applyBorder="1" applyAlignment="1">
      <alignment horizontal="center" vertical="top"/>
    </xf>
    <xf numFmtId="0" fontId="33" fillId="0" borderId="1" xfId="5" applyFont="1" applyBorder="1" applyAlignment="1">
      <alignment horizontal="center" vertical="center"/>
    </xf>
    <xf numFmtId="0" fontId="33" fillId="0" borderId="2" xfId="5" applyFont="1" applyBorder="1" applyAlignment="1">
      <alignment horizontal="center" vertical="center"/>
    </xf>
    <xf numFmtId="0" fontId="33" fillId="0" borderId="12" xfId="5" applyFont="1" applyBorder="1" applyAlignment="1">
      <alignment horizontal="center" vertical="center" wrapText="1"/>
    </xf>
    <xf numFmtId="0" fontId="24" fillId="0" borderId="14" xfId="5" applyFont="1" applyBorder="1" applyAlignment="1">
      <alignment horizontal="center" vertical="center" wrapText="1"/>
    </xf>
    <xf numFmtId="0" fontId="24" fillId="0" borderId="12" xfId="5" applyFont="1" applyBorder="1" applyAlignment="1">
      <alignment horizontal="center" vertical="center" wrapText="1"/>
    </xf>
    <xf numFmtId="0" fontId="24" fillId="0" borderId="14" xfId="5" applyFont="1" applyBorder="1" applyAlignment="1">
      <alignment horizontal="center" vertical="center"/>
    </xf>
    <xf numFmtId="0" fontId="24" fillId="0" borderId="13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25" fillId="0" borderId="14" xfId="5" applyFont="1" applyBorder="1" applyAlignment="1">
      <alignment horizontal="center" vertical="center" wrapText="1"/>
    </xf>
    <xf numFmtId="164" fontId="24" fillId="0" borderId="13" xfId="5" applyNumberFormat="1" applyFont="1" applyBorder="1" applyAlignment="1">
      <alignment horizontal="center" vertical="center" wrapText="1"/>
    </xf>
    <xf numFmtId="164" fontId="24" fillId="0" borderId="14" xfId="5" applyNumberFormat="1" applyFont="1" applyBorder="1" applyAlignment="1">
      <alignment horizontal="center" vertical="center" wrapText="1"/>
    </xf>
    <xf numFmtId="0" fontId="33" fillId="0" borderId="1" xfId="5" applyFont="1" applyBorder="1" applyAlignment="1">
      <alignment horizontal="left"/>
    </xf>
    <xf numFmtId="0" fontId="33" fillId="0" borderId="2" xfId="5" applyFont="1" applyBorder="1" applyAlignment="1">
      <alignment horizontal="left"/>
    </xf>
    <xf numFmtId="0" fontId="33" fillId="0" borderId="3" xfId="5" applyFont="1" applyBorder="1" applyAlignment="1">
      <alignment horizontal="left"/>
    </xf>
    <xf numFmtId="0" fontId="33" fillId="0" borderId="1" xfId="5" applyFont="1" applyFill="1" applyBorder="1" applyAlignment="1">
      <alignment horizontal="center"/>
    </xf>
    <xf numFmtId="0" fontId="33" fillId="0" borderId="2" xfId="5" applyFont="1" applyFill="1" applyBorder="1" applyAlignment="1">
      <alignment horizontal="center"/>
    </xf>
    <xf numFmtId="0" fontId="33" fillId="0" borderId="3" xfId="5" applyFont="1" applyFill="1" applyBorder="1" applyAlignment="1">
      <alignment horizontal="center"/>
    </xf>
    <xf numFmtId="0" fontId="24" fillId="0" borderId="12" xfId="5" applyFont="1" applyBorder="1" applyAlignment="1">
      <alignment horizontal="center" vertical="center"/>
    </xf>
    <xf numFmtId="0" fontId="30" fillId="0" borderId="7" xfId="5" applyFont="1" applyBorder="1" applyAlignment="1">
      <alignment horizontal="center" vertical="top"/>
    </xf>
    <xf numFmtId="0" fontId="30" fillId="0" borderId="9" xfId="5" applyFont="1" applyBorder="1" applyAlignment="1">
      <alignment horizontal="center" vertical="top"/>
    </xf>
    <xf numFmtId="0" fontId="30" fillId="0" borderId="10" xfId="5" applyFont="1" applyBorder="1" applyAlignment="1">
      <alignment horizontal="center" vertical="top"/>
    </xf>
    <xf numFmtId="0" fontId="30" fillId="0" borderId="11" xfId="5" applyFont="1" applyBorder="1" applyAlignment="1">
      <alignment horizontal="center" vertical="top"/>
    </xf>
    <xf numFmtId="0" fontId="32" fillId="0" borderId="12" xfId="5" applyFont="1" applyBorder="1" applyAlignment="1">
      <alignment wrapText="1"/>
    </xf>
    <xf numFmtId="164" fontId="23" fillId="2" borderId="1" xfId="7" applyNumberFormat="1" applyFont="1" applyFill="1" applyBorder="1" applyAlignment="1">
      <alignment horizontal="center" vertical="center"/>
    </xf>
    <xf numFmtId="164" fontId="23" fillId="2" borderId="2" xfId="7" applyNumberFormat="1" applyFont="1" applyFill="1" applyBorder="1" applyAlignment="1">
      <alignment horizontal="center" vertical="center"/>
    </xf>
    <xf numFmtId="164" fontId="23" fillId="2" borderId="3" xfId="7" applyNumberFormat="1" applyFont="1" applyFill="1" applyBorder="1" applyAlignment="1">
      <alignment horizontal="center" vertical="center"/>
    </xf>
    <xf numFmtId="0" fontId="13" fillId="2" borderId="0" xfId="7" applyFont="1" applyFill="1" applyAlignment="1">
      <alignment horizontal="center" vertical="center"/>
    </xf>
    <xf numFmtId="0" fontId="36" fillId="2" borderId="10" xfId="7" applyFont="1" applyFill="1" applyBorder="1" applyAlignment="1">
      <alignment horizontal="center" vertical="center" wrapText="1"/>
    </xf>
    <xf numFmtId="0" fontId="36" fillId="2" borderId="8" xfId="7" applyFont="1" applyFill="1" applyBorder="1" applyAlignment="1">
      <alignment horizontal="center" vertical="center" wrapText="1"/>
    </xf>
    <xf numFmtId="0" fontId="23" fillId="2" borderId="8" xfId="7" applyFont="1" applyFill="1" applyBorder="1" applyAlignment="1">
      <alignment horizontal="center" vertical="center"/>
    </xf>
    <xf numFmtId="0" fontId="23" fillId="2" borderId="11" xfId="7" applyFont="1" applyFill="1" applyBorder="1" applyAlignment="1">
      <alignment horizontal="center" vertical="center"/>
    </xf>
    <xf numFmtId="0" fontId="23" fillId="2" borderId="7" xfId="7" applyFont="1" applyFill="1" applyBorder="1" applyAlignment="1">
      <alignment horizontal="center" vertical="center"/>
    </xf>
    <xf numFmtId="0" fontId="23" fillId="2" borderId="0" xfId="7" applyFont="1" applyFill="1" applyBorder="1" applyAlignment="1">
      <alignment horizontal="center" vertical="center"/>
    </xf>
    <xf numFmtId="0" fontId="23" fillId="2" borderId="9" xfId="7" applyFont="1" applyFill="1" applyBorder="1" applyAlignment="1">
      <alignment horizontal="center" vertical="center"/>
    </xf>
    <xf numFmtId="0" fontId="23" fillId="2" borderId="4" xfId="7" applyFont="1" applyFill="1" applyBorder="1" applyAlignment="1">
      <alignment horizontal="center" vertical="center"/>
    </xf>
    <xf numFmtId="0" fontId="23" fillId="2" borderId="5" xfId="7" applyFont="1" applyFill="1" applyBorder="1" applyAlignment="1">
      <alignment horizontal="center" vertical="center"/>
    </xf>
    <xf numFmtId="0" fontId="23" fillId="2" borderId="6" xfId="7" applyFont="1" applyFill="1" applyBorder="1" applyAlignment="1">
      <alignment horizontal="center" vertical="center"/>
    </xf>
    <xf numFmtId="0" fontId="23" fillId="2" borderId="12" xfId="4" applyFont="1" applyFill="1" applyBorder="1" applyAlignment="1">
      <alignment horizontal="right" vertical="center"/>
    </xf>
    <xf numFmtId="0" fontId="23" fillId="2" borderId="7" xfId="7" applyFont="1" applyFill="1" applyBorder="1" applyAlignment="1">
      <alignment horizontal="center" vertical="center" wrapText="1"/>
    </xf>
    <xf numFmtId="0" fontId="23" fillId="2" borderId="0" xfId="7" applyFont="1" applyFill="1" applyBorder="1" applyAlignment="1">
      <alignment horizontal="center" vertical="center" wrapText="1"/>
    </xf>
    <xf numFmtId="0" fontId="23" fillId="2" borderId="9" xfId="7" applyFont="1" applyFill="1" applyBorder="1" applyAlignment="1">
      <alignment horizontal="center" vertical="center" wrapText="1"/>
    </xf>
    <xf numFmtId="0" fontId="23" fillId="2" borderId="12" xfId="7" applyFont="1" applyFill="1" applyBorder="1" applyAlignment="1">
      <alignment horizontal="center" vertical="center"/>
    </xf>
    <xf numFmtId="0" fontId="23" fillId="2" borderId="12" xfId="7" applyFont="1" applyFill="1" applyBorder="1" applyAlignment="1">
      <alignment horizontal="center" vertical="center" wrapText="1"/>
    </xf>
    <xf numFmtId="1" fontId="23" fillId="2" borderId="12" xfId="7" applyNumberFormat="1" applyFont="1" applyFill="1" applyBorder="1" applyAlignment="1">
      <alignment horizontal="center" vertical="center" wrapText="1"/>
    </xf>
    <xf numFmtId="164" fontId="23" fillId="2" borderId="12" xfId="7" applyNumberFormat="1" applyFont="1" applyFill="1" applyBorder="1" applyAlignment="1">
      <alignment horizontal="center" vertical="center" wrapText="1"/>
    </xf>
    <xf numFmtId="0" fontId="36" fillId="2" borderId="12" xfId="7" applyFont="1" applyFill="1" applyBorder="1" applyAlignment="1">
      <alignment horizontal="center" vertical="center" wrapText="1"/>
    </xf>
    <xf numFmtId="0" fontId="83" fillId="2" borderId="4" xfId="7" applyFont="1" applyFill="1" applyBorder="1" applyAlignment="1">
      <alignment horizontal="center" vertical="center" wrapText="1"/>
    </xf>
    <xf numFmtId="0" fontId="83" fillId="2" borderId="5" xfId="7" applyFont="1" applyFill="1" applyBorder="1" applyAlignment="1">
      <alignment horizontal="center" vertical="center" wrapText="1"/>
    </xf>
    <xf numFmtId="0" fontId="83" fillId="2" borderId="6" xfId="7" applyFont="1" applyFill="1" applyBorder="1" applyAlignment="1">
      <alignment horizontal="center" vertical="center" wrapText="1"/>
    </xf>
    <xf numFmtId="0" fontId="83" fillId="2" borderId="10" xfId="7" applyFont="1" applyFill="1" applyBorder="1" applyAlignment="1">
      <alignment horizontal="center" vertical="center" wrapText="1"/>
    </xf>
    <xf numFmtId="0" fontId="83" fillId="2" borderId="8" xfId="7" applyFont="1" applyFill="1" applyBorder="1" applyAlignment="1">
      <alignment horizontal="center" vertical="center" wrapText="1"/>
    </xf>
    <xf numFmtId="0" fontId="83" fillId="2" borderId="11" xfId="7" applyFont="1" applyFill="1" applyBorder="1" applyAlignment="1">
      <alignment horizontal="center" vertical="center" wrapText="1"/>
    </xf>
    <xf numFmtId="0" fontId="37" fillId="2" borderId="12" xfId="7" applyFont="1" applyFill="1" applyBorder="1" applyAlignment="1">
      <alignment horizontal="center" vertical="center" wrapText="1"/>
    </xf>
    <xf numFmtId="0" fontId="13" fillId="2" borderId="8" xfId="7" applyFont="1" applyFill="1" applyBorder="1" applyAlignment="1">
      <alignment horizontal="center" vertical="center"/>
    </xf>
    <xf numFmtId="0" fontId="12" fillId="2" borderId="12" xfId="7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14" fontId="12" fillId="2" borderId="12" xfId="7" applyNumberFormat="1" applyFont="1" applyFill="1" applyBorder="1" applyAlignment="1">
      <alignment horizontal="center" vertical="center" wrapText="1"/>
    </xf>
    <xf numFmtId="0" fontId="25" fillId="2" borderId="12" xfId="7" applyFont="1" applyFill="1" applyBorder="1" applyAlignment="1">
      <alignment horizontal="center" vertical="center"/>
    </xf>
    <xf numFmtId="164" fontId="12" fillId="2" borderId="12" xfId="8" applyNumberFormat="1" applyFont="1" applyFill="1" applyBorder="1" applyAlignment="1">
      <alignment horizontal="center" vertical="center" wrapText="1"/>
    </xf>
    <xf numFmtId="2" fontId="23" fillId="2" borderId="12" xfId="7" applyNumberFormat="1" applyFont="1" applyFill="1" applyBorder="1" applyAlignment="1">
      <alignment horizontal="center" vertical="center"/>
    </xf>
    <xf numFmtId="165" fontId="25" fillId="2" borderId="12" xfId="7" applyNumberFormat="1" applyFont="1" applyFill="1" applyBorder="1" applyAlignment="1">
      <alignment horizontal="center" vertical="center"/>
    </xf>
    <xf numFmtId="0" fontId="31" fillId="2" borderId="12" xfId="4" applyFont="1" applyFill="1" applyBorder="1" applyAlignment="1">
      <alignment horizontal="center" vertical="center" wrapText="1"/>
    </xf>
    <xf numFmtId="166" fontId="41" fillId="2" borderId="12" xfId="4" applyNumberFormat="1" applyFont="1" applyFill="1" applyBorder="1" applyAlignment="1">
      <alignment horizontal="center" vertical="center" wrapText="1"/>
    </xf>
    <xf numFmtId="0" fontId="10" fillId="2" borderId="12" xfId="7" applyFont="1" applyFill="1" applyBorder="1" applyAlignment="1">
      <alignment horizontal="center" vertical="center"/>
    </xf>
    <xf numFmtId="166" fontId="36" fillId="2" borderId="12" xfId="4" applyNumberFormat="1" applyFont="1" applyFill="1" applyBorder="1" applyAlignment="1">
      <alignment horizontal="center" vertical="center" wrapText="1"/>
    </xf>
    <xf numFmtId="1" fontId="23" fillId="2" borderId="12" xfId="7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165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right" vertical="center" indent="8"/>
    </xf>
    <xf numFmtId="0" fontId="10" fillId="0" borderId="8" xfId="0" applyNumberFormat="1" applyFont="1" applyBorder="1" applyAlignment="1">
      <alignment horizontal="right" vertical="center" indent="8"/>
    </xf>
    <xf numFmtId="14" fontId="10" fillId="0" borderId="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indent="1"/>
    </xf>
    <xf numFmtId="0" fontId="10" fillId="0" borderId="8" xfId="0" applyFont="1" applyBorder="1" applyAlignment="1">
      <alignment horizontal="left" indent="1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 textRotation="90" wrapText="1"/>
    </xf>
    <xf numFmtId="0" fontId="20" fillId="0" borderId="6" xfId="0" applyFont="1" applyBorder="1" applyAlignment="1">
      <alignment horizontal="center" vertical="center" textRotation="90" wrapText="1"/>
    </xf>
    <xf numFmtId="0" fontId="20" fillId="0" borderId="7" xfId="0" applyFont="1" applyBorder="1" applyAlignment="1">
      <alignment horizontal="center" vertical="center" textRotation="90" wrapText="1"/>
    </xf>
    <xf numFmtId="0" fontId="20" fillId="0" borderId="9" xfId="0" applyFont="1" applyBorder="1" applyAlignment="1">
      <alignment horizontal="center" vertical="center" textRotation="90" wrapText="1"/>
    </xf>
    <xf numFmtId="0" fontId="20" fillId="0" borderId="10" xfId="0" applyFont="1" applyBorder="1" applyAlignment="1">
      <alignment horizontal="center" vertical="center" textRotation="90" wrapText="1"/>
    </xf>
    <xf numFmtId="0" fontId="20" fillId="0" borderId="11" xfId="0" applyFont="1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right"/>
    </xf>
    <xf numFmtId="0" fontId="15" fillId="0" borderId="7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22" fillId="2" borderId="12" xfId="0" applyFont="1" applyFill="1" applyBorder="1" applyAlignment="1">
      <alignment horizontal="center"/>
    </xf>
    <xf numFmtId="0" fontId="43" fillId="0" borderId="7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8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wrapText="1" readingOrder="1"/>
    </xf>
    <xf numFmtId="0" fontId="15" fillId="0" borderId="0" xfId="0" applyFont="1" applyBorder="1" applyAlignment="1">
      <alignment horizontal="center" wrapText="1" readingOrder="1"/>
    </xf>
    <xf numFmtId="0" fontId="15" fillId="0" borderId="9" xfId="0" applyFont="1" applyBorder="1" applyAlignment="1">
      <alignment horizontal="center" wrapText="1" readingOrder="1"/>
    </xf>
    <xf numFmtId="1" fontId="22" fillId="2" borderId="12" xfId="0" applyNumberFormat="1" applyFont="1" applyFill="1" applyBorder="1" applyAlignment="1">
      <alignment horizontal="center"/>
    </xf>
    <xf numFmtId="164" fontId="22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textRotation="90"/>
    </xf>
    <xf numFmtId="2" fontId="11" fillId="0" borderId="12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0" fillId="0" borderId="10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1" fontId="19" fillId="0" borderId="2" xfId="1" applyNumberFormat="1" applyFont="1" applyBorder="1" applyAlignment="1">
      <alignment horizontal="center" vertical="center" wrapText="1"/>
    </xf>
    <xf numFmtId="1" fontId="19" fillId="0" borderId="3" xfId="1" applyNumberFormat="1" applyFont="1" applyBorder="1" applyAlignment="1">
      <alignment horizontal="center" vertical="center" wrapText="1"/>
    </xf>
    <xf numFmtId="1" fontId="19" fillId="0" borderId="12" xfId="1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textRotation="90" wrapText="1"/>
    </xf>
    <xf numFmtId="0" fontId="21" fillId="0" borderId="6" xfId="0" applyFont="1" applyBorder="1" applyAlignment="1">
      <alignment horizontal="center" vertical="center" textRotation="90" wrapText="1"/>
    </xf>
    <xf numFmtId="0" fontId="21" fillId="0" borderId="7" xfId="0" applyFont="1" applyBorder="1" applyAlignment="1">
      <alignment horizontal="center" vertical="center" textRotation="90" wrapText="1"/>
    </xf>
    <xf numFmtId="0" fontId="21" fillId="0" borderId="9" xfId="0" applyFont="1" applyBorder="1" applyAlignment="1">
      <alignment horizontal="center" vertical="center" textRotation="90" wrapText="1"/>
    </xf>
    <xf numFmtId="0" fontId="21" fillId="0" borderId="10" xfId="0" applyFont="1" applyBorder="1" applyAlignment="1">
      <alignment horizontal="center" vertical="center" textRotation="90" wrapText="1"/>
    </xf>
    <xf numFmtId="0" fontId="21" fillId="0" borderId="11" xfId="0" applyFont="1" applyBorder="1" applyAlignment="1">
      <alignment horizontal="center" vertical="center" textRotation="90" wrapText="1"/>
    </xf>
    <xf numFmtId="0" fontId="84" fillId="0" borderId="7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 wrapText="1"/>
    </xf>
    <xf numFmtId="0" fontId="84" fillId="0" borderId="9" xfId="0" applyFont="1" applyBorder="1" applyAlignment="1">
      <alignment horizontal="center" vertical="center" wrapText="1"/>
    </xf>
    <xf numFmtId="0" fontId="84" fillId="0" borderId="10" xfId="0" applyFont="1" applyBorder="1" applyAlignment="1">
      <alignment horizontal="center" vertical="center" wrapText="1"/>
    </xf>
    <xf numFmtId="0" fontId="84" fillId="0" borderId="8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164" fontId="11" fillId="2" borderId="12" xfId="0" applyNumberFormat="1" applyFont="1" applyFill="1" applyBorder="1" applyAlignment="1">
      <alignment horizontal="center"/>
    </xf>
    <xf numFmtId="1" fontId="10" fillId="0" borderId="8" xfId="0" applyNumberFormat="1" applyFont="1" applyBorder="1" applyAlignment="1">
      <alignment horizontal="center" vertical="center"/>
    </xf>
    <xf numFmtId="0" fontId="56" fillId="0" borderId="5" xfId="0" applyFont="1" applyBorder="1" applyAlignment="1">
      <alignment horizontal="right"/>
    </xf>
    <xf numFmtId="0" fontId="46" fillId="0" borderId="10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0" fontId="46" fillId="0" borderId="11" xfId="0" applyFont="1" applyBorder="1" applyAlignment="1">
      <alignment vertical="center" wrapText="1"/>
    </xf>
    <xf numFmtId="0" fontId="50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50" fillId="0" borderId="5" xfId="0" applyFont="1" applyBorder="1" applyAlignment="1">
      <alignment horizontal="center" vertical="top"/>
    </xf>
    <xf numFmtId="0" fontId="50" fillId="0" borderId="6" xfId="0" applyFont="1" applyBorder="1" applyAlignment="1">
      <alignment horizontal="center" vertical="top"/>
    </xf>
    <xf numFmtId="0" fontId="55" fillId="0" borderId="7" xfId="0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9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3" fillId="0" borderId="4" xfId="0" applyFont="1" applyBorder="1" applyAlignment="1">
      <alignment horizontal="left"/>
    </xf>
    <xf numFmtId="0" fontId="53" fillId="0" borderId="5" xfId="0" applyFont="1" applyBorder="1" applyAlignment="1">
      <alignment horizontal="left"/>
    </xf>
    <xf numFmtId="0" fontId="53" fillId="0" borderId="6" xfId="0" applyFont="1" applyBorder="1" applyAlignment="1">
      <alignment horizontal="left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50" fillId="0" borderId="12" xfId="0" applyFont="1" applyBorder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1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4" fillId="0" borderId="12" xfId="0" applyFont="1" applyBorder="1" applyAlignment="1">
      <alignment horizontal="center" vertical="center" textRotation="90" wrapText="1"/>
    </xf>
    <xf numFmtId="0" fontId="50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0" fillId="0" borderId="2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3" fillId="0" borderId="4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 textRotation="90"/>
    </xf>
    <xf numFmtId="164" fontId="85" fillId="0" borderId="12" xfId="0" applyNumberFormat="1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0" borderId="10" xfId="0" applyFont="1" applyBorder="1" applyAlignment="1"/>
    <xf numFmtId="0" fontId="0" fillId="0" borderId="8" xfId="0" applyBorder="1" applyAlignment="1"/>
    <xf numFmtId="0" fontId="46" fillId="0" borderId="0" xfId="0" applyFont="1" applyBorder="1" applyAlignment="1">
      <alignment horizontal="right"/>
    </xf>
    <xf numFmtId="0" fontId="47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50" fillId="0" borderId="12" xfId="0" applyFont="1" applyBorder="1" applyAlignment="1">
      <alignment horizontal="center" vertical="center" wrapText="1"/>
    </xf>
    <xf numFmtId="0" fontId="50" fillId="0" borderId="5" xfId="0" applyFont="1" applyBorder="1" applyAlignment="1"/>
    <xf numFmtId="0" fontId="18" fillId="0" borderId="5" xfId="0" applyFont="1" applyBorder="1" applyAlignment="1"/>
    <xf numFmtId="0" fontId="50" fillId="0" borderId="0" xfId="0" applyFont="1" applyBorder="1" applyAlignment="1"/>
    <xf numFmtId="0" fontId="18" fillId="0" borderId="0" xfId="0" applyFont="1" applyBorder="1" applyAlignment="1"/>
    <xf numFmtId="15" fontId="50" fillId="0" borderId="0" xfId="0" applyNumberFormat="1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8" xfId="0" applyFont="1" applyBorder="1" applyAlignment="1"/>
    <xf numFmtId="0" fontId="18" fillId="0" borderId="8" xfId="0" applyFont="1" applyBorder="1" applyAlignment="1"/>
    <xf numFmtId="15" fontId="50" fillId="0" borderId="2" xfId="0" applyNumberFormat="1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50" fillId="0" borderId="6" xfId="0" applyFont="1" applyBorder="1" applyAlignment="1">
      <alignment horizontal="center"/>
    </xf>
    <xf numFmtId="0" fontId="50" fillId="0" borderId="7" xfId="0" applyFont="1" applyBorder="1" applyAlignment="1"/>
    <xf numFmtId="0" fontId="51" fillId="0" borderId="5" xfId="11" applyFont="1" applyBorder="1" applyAlignment="1">
      <alignment horizontal="right"/>
    </xf>
    <xf numFmtId="0" fontId="24" fillId="0" borderId="4" xfId="11" applyFont="1" applyBorder="1" applyAlignment="1">
      <alignment horizontal="center" vertical="center" readingOrder="1"/>
    </xf>
    <xf numFmtId="0" fontId="24" fillId="0" borderId="5" xfId="11" applyFont="1" applyBorder="1" applyAlignment="1">
      <alignment horizontal="center" vertical="center" readingOrder="1"/>
    </xf>
    <xf numFmtId="0" fontId="24" fillId="0" borderId="6" xfId="11" applyFont="1" applyBorder="1" applyAlignment="1">
      <alignment horizontal="center" vertical="center" readingOrder="1"/>
    </xf>
    <xf numFmtId="0" fontId="55" fillId="0" borderId="7" xfId="11" applyFont="1" applyBorder="1" applyAlignment="1">
      <alignment horizontal="center" wrapText="1" readingOrder="1"/>
    </xf>
    <xf numFmtId="0" fontId="55" fillId="0" borderId="9" xfId="11" applyFont="1" applyBorder="1" applyAlignment="1">
      <alignment horizontal="center" wrapText="1" readingOrder="1"/>
    </xf>
    <xf numFmtId="0" fontId="55" fillId="0" borderId="10" xfId="11" applyFont="1" applyBorder="1" applyAlignment="1">
      <alignment horizontal="center" wrapText="1" readingOrder="1"/>
    </xf>
    <xf numFmtId="0" fontId="55" fillId="0" borderId="11" xfId="11" applyFont="1" applyBorder="1" applyAlignment="1">
      <alignment horizontal="center" wrapText="1" readingOrder="1"/>
    </xf>
    <xf numFmtId="0" fontId="55" fillId="0" borderId="7" xfId="11" applyFont="1" applyBorder="1" applyAlignment="1">
      <alignment horizontal="center" readingOrder="1"/>
    </xf>
    <xf numFmtId="0" fontId="55" fillId="0" borderId="0" xfId="11" applyFont="1" applyBorder="1" applyAlignment="1">
      <alignment horizontal="center" readingOrder="1"/>
    </xf>
    <xf numFmtId="0" fontId="55" fillId="0" borderId="9" xfId="11" applyFont="1" applyBorder="1" applyAlignment="1">
      <alignment horizontal="center" readingOrder="1"/>
    </xf>
    <xf numFmtId="0" fontId="55" fillId="0" borderId="10" xfId="11" applyFont="1" applyBorder="1" applyAlignment="1">
      <alignment horizontal="center" readingOrder="1"/>
    </xf>
    <xf numFmtId="0" fontId="55" fillId="0" borderId="8" xfId="11" applyFont="1" applyBorder="1" applyAlignment="1">
      <alignment horizontal="center" readingOrder="1"/>
    </xf>
    <xf numFmtId="0" fontId="55" fillId="0" borderId="11" xfId="11" applyFont="1" applyBorder="1" applyAlignment="1">
      <alignment horizontal="center" readingOrder="1"/>
    </xf>
    <xf numFmtId="0" fontId="3" fillId="0" borderId="43" xfId="11" applyBorder="1" applyAlignment="1">
      <alignment horizontal="center"/>
    </xf>
    <xf numFmtId="0" fontId="3" fillId="0" borderId="44" xfId="11" applyBorder="1" applyAlignment="1">
      <alignment horizontal="center"/>
    </xf>
    <xf numFmtId="0" fontId="3" fillId="0" borderId="45" xfId="11" applyBorder="1" applyAlignment="1">
      <alignment horizontal="center"/>
    </xf>
    <xf numFmtId="0" fontId="3" fillId="0" borderId="0" xfId="11" applyAlignment="1">
      <alignment horizontal="right"/>
    </xf>
    <xf numFmtId="0" fontId="47" fillId="0" borderId="0" xfId="11" applyFont="1" applyBorder="1" applyAlignment="1">
      <alignment horizontal="center" wrapText="1"/>
    </xf>
    <xf numFmtId="0" fontId="50" fillId="0" borderId="12" xfId="11" applyFont="1" applyBorder="1" applyAlignment="1">
      <alignment horizontal="center" vertical="center" wrapText="1"/>
    </xf>
    <xf numFmtId="0" fontId="56" fillId="0" borderId="4" xfId="11" applyFont="1" applyBorder="1" applyAlignment="1">
      <alignment horizontal="left" vertical="center" wrapText="1"/>
    </xf>
    <xf numFmtId="0" fontId="56" fillId="0" borderId="5" xfId="11" applyFont="1" applyBorder="1" applyAlignment="1">
      <alignment horizontal="left" vertical="center" wrapText="1"/>
    </xf>
    <xf numFmtId="0" fontId="56" fillId="0" borderId="6" xfId="11" applyFont="1" applyBorder="1" applyAlignment="1">
      <alignment horizontal="left" vertical="center" wrapText="1"/>
    </xf>
    <xf numFmtId="0" fontId="56" fillId="0" borderId="7" xfId="11" applyFont="1" applyBorder="1" applyAlignment="1">
      <alignment horizontal="left" vertical="center" wrapText="1"/>
    </xf>
    <xf numFmtId="0" fontId="56" fillId="0" borderId="0" xfId="11" applyFont="1" applyBorder="1" applyAlignment="1">
      <alignment horizontal="left" vertical="center" wrapText="1"/>
    </xf>
    <xf numFmtId="0" fontId="56" fillId="0" borderId="9" xfId="11" applyFont="1" applyBorder="1" applyAlignment="1">
      <alignment horizontal="left" vertical="center" wrapText="1"/>
    </xf>
    <xf numFmtId="0" fontId="56" fillId="0" borderId="10" xfId="11" applyFont="1" applyBorder="1" applyAlignment="1">
      <alignment horizontal="left" vertical="center" wrapText="1"/>
    </xf>
    <xf numFmtId="0" fontId="56" fillId="0" borderId="8" xfId="11" applyFont="1" applyBorder="1" applyAlignment="1">
      <alignment horizontal="left" vertical="center" wrapText="1"/>
    </xf>
    <xf numFmtId="0" fontId="56" fillId="0" borderId="11" xfId="11" applyFont="1" applyBorder="1" applyAlignment="1">
      <alignment horizontal="left" vertical="center" wrapText="1"/>
    </xf>
    <xf numFmtId="0" fontId="34" fillId="0" borderId="4" xfId="11" applyFont="1" applyBorder="1" applyAlignment="1">
      <alignment horizontal="center" vertical="center" wrapText="1"/>
    </xf>
    <xf numFmtId="0" fontId="34" fillId="0" borderId="7" xfId="11" applyFont="1" applyBorder="1" applyAlignment="1">
      <alignment horizontal="center" vertical="center" wrapText="1"/>
    </xf>
    <xf numFmtId="0" fontId="34" fillId="0" borderId="6" xfId="11" applyFont="1" applyBorder="1" applyAlignment="1">
      <alignment horizontal="center" vertical="center"/>
    </xf>
    <xf numFmtId="0" fontId="34" fillId="0" borderId="9" xfId="11" applyFont="1" applyBorder="1" applyAlignment="1">
      <alignment horizontal="center" vertical="center"/>
    </xf>
    <xf numFmtId="0" fontId="68" fillId="0" borderId="7" xfId="11" applyFont="1" applyBorder="1" applyAlignment="1">
      <alignment horizontal="center" vertical="center" wrapText="1"/>
    </xf>
    <xf numFmtId="0" fontId="68" fillId="0" borderId="0" xfId="11" applyFont="1" applyBorder="1" applyAlignment="1">
      <alignment horizontal="center" vertical="center" wrapText="1"/>
    </xf>
    <xf numFmtId="0" fontId="68" fillId="0" borderId="9" xfId="11" applyFont="1" applyBorder="1" applyAlignment="1">
      <alignment horizontal="center" vertical="center" wrapText="1"/>
    </xf>
    <xf numFmtId="0" fontId="69" fillId="0" borderId="35" xfId="11" applyFont="1" applyBorder="1" applyAlignment="1">
      <alignment horizontal="left" vertical="center"/>
    </xf>
    <xf numFmtId="0" fontId="69" fillId="0" borderId="36" xfId="11" applyFont="1" applyBorder="1" applyAlignment="1">
      <alignment horizontal="left" vertical="center"/>
    </xf>
    <xf numFmtId="0" fontId="69" fillId="0" borderId="37" xfId="11" applyFont="1" applyBorder="1" applyAlignment="1">
      <alignment horizontal="left" vertical="center"/>
    </xf>
    <xf numFmtId="0" fontId="3" fillId="0" borderId="40" xfId="11" applyBorder="1" applyAlignment="1">
      <alignment horizontal="left" vertical="center"/>
    </xf>
    <xf numFmtId="0" fontId="3" fillId="0" borderId="41" xfId="11" applyBorder="1" applyAlignment="1">
      <alignment horizontal="left" vertical="center"/>
    </xf>
    <xf numFmtId="0" fontId="56" fillId="0" borderId="0" xfId="3" applyFont="1" applyBorder="1" applyAlignment="1">
      <alignment horizontal="right" vertical="center"/>
    </xf>
    <xf numFmtId="0" fontId="60" fillId="0" borderId="2" xfId="3" applyFont="1" applyBorder="1" applyAlignment="1">
      <alignment horizontal="center" vertical="center" wrapText="1"/>
    </xf>
    <xf numFmtId="0" fontId="60" fillId="0" borderId="3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/>
    </xf>
    <xf numFmtId="0" fontId="18" fillId="0" borderId="2" xfId="3" applyFont="1" applyBorder="1" applyAlignment="1">
      <alignment horizontal="center"/>
    </xf>
    <xf numFmtId="0" fontId="18" fillId="0" borderId="3" xfId="3" applyFont="1" applyBorder="1" applyAlignment="1">
      <alignment horizontal="center"/>
    </xf>
    <xf numFmtId="0" fontId="37" fillId="0" borderId="34" xfId="3" applyFont="1" applyBorder="1" applyAlignment="1">
      <alignment horizontal="center"/>
    </xf>
    <xf numFmtId="0" fontId="37" fillId="0" borderId="0" xfId="3" applyFont="1" applyBorder="1" applyAlignment="1">
      <alignment horizontal="center"/>
    </xf>
    <xf numFmtId="0" fontId="18" fillId="0" borderId="12" xfId="3" applyFont="1" applyBorder="1" applyAlignment="1">
      <alignment horizontal="center"/>
    </xf>
    <xf numFmtId="0" fontId="18" fillId="0" borderId="4" xfId="3" applyFont="1" applyBorder="1" applyAlignment="1">
      <alignment horizontal="center"/>
    </xf>
    <xf numFmtId="0" fontId="18" fillId="0" borderId="5" xfId="3" applyFont="1" applyBorder="1" applyAlignment="1">
      <alignment horizontal="center"/>
    </xf>
    <xf numFmtId="0" fontId="18" fillId="0" borderId="7" xfId="3" applyFont="1" applyBorder="1" applyAlignment="1">
      <alignment horizontal="center"/>
    </xf>
    <xf numFmtId="0" fontId="18" fillId="0" borderId="0" xfId="3" applyFont="1" applyBorder="1" applyAlignment="1">
      <alignment horizontal="center"/>
    </xf>
    <xf numFmtId="0" fontId="18" fillId="0" borderId="10" xfId="3" applyFont="1" applyBorder="1" applyAlignment="1">
      <alignment horizontal="center"/>
    </xf>
    <xf numFmtId="0" fontId="18" fillId="0" borderId="8" xfId="3" applyFont="1" applyBorder="1" applyAlignment="1">
      <alignment horizontal="center"/>
    </xf>
    <xf numFmtId="0" fontId="18" fillId="0" borderId="6" xfId="3" applyFont="1" applyBorder="1" applyAlignment="1">
      <alignment horizontal="center"/>
    </xf>
    <xf numFmtId="0" fontId="18" fillId="0" borderId="9" xfId="3" applyFont="1" applyBorder="1" applyAlignment="1">
      <alignment horizontal="center"/>
    </xf>
    <xf numFmtId="0" fontId="18" fillId="0" borderId="11" xfId="3" applyFont="1" applyBorder="1" applyAlignment="1">
      <alignment horizontal="center"/>
    </xf>
    <xf numFmtId="0" fontId="46" fillId="0" borderId="14" xfId="3" applyFont="1" applyBorder="1" applyAlignment="1">
      <alignment horizontal="center" vertical="center"/>
    </xf>
    <xf numFmtId="0" fontId="55" fillId="0" borderId="14" xfId="3" applyFont="1" applyBorder="1" applyAlignment="1">
      <alignment horizontal="center" vertical="center"/>
    </xf>
    <xf numFmtId="0" fontId="55" fillId="0" borderId="12" xfId="3" applyFont="1" applyBorder="1" applyAlignment="1">
      <alignment horizontal="center" vertical="center"/>
    </xf>
    <xf numFmtId="0" fontId="46" fillId="0" borderId="12" xfId="3" applyFont="1" applyBorder="1" applyAlignment="1">
      <alignment horizontal="center" vertical="center"/>
    </xf>
    <xf numFmtId="0" fontId="37" fillId="0" borderId="0" xfId="3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23" fillId="0" borderId="12" xfId="3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23" fillId="0" borderId="4" xfId="3" applyNumberFormat="1" applyFont="1" applyBorder="1" applyAlignment="1">
      <alignment horizontal="center" vertical="center"/>
    </xf>
    <xf numFmtId="0" fontId="23" fillId="0" borderId="6" xfId="3" applyFont="1" applyBorder="1" applyAlignment="1">
      <alignment horizontal="center" vertical="center"/>
    </xf>
    <xf numFmtId="0" fontId="23" fillId="0" borderId="10" xfId="3" applyFont="1" applyBorder="1" applyAlignment="1">
      <alignment horizontal="center" vertical="center"/>
    </xf>
    <xf numFmtId="0" fontId="23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23" fillId="0" borderId="4" xfId="3" applyFont="1" applyBorder="1" applyAlignment="1">
      <alignment horizontal="center" vertical="center"/>
    </xf>
    <xf numFmtId="0" fontId="30" fillId="0" borderId="12" xfId="3" applyFont="1" applyBorder="1" applyAlignment="1">
      <alignment horizontal="center" vertical="center"/>
    </xf>
    <xf numFmtId="2" fontId="72" fillId="0" borderId="7" xfId="0" applyNumberFormat="1" applyFont="1" applyBorder="1" applyAlignment="1">
      <alignment horizontal="center" vertical="center"/>
    </xf>
    <xf numFmtId="2" fontId="72" fillId="0" borderId="9" xfId="0" applyNumberFormat="1" applyFont="1" applyBorder="1" applyAlignment="1">
      <alignment horizontal="center" vertical="center"/>
    </xf>
    <xf numFmtId="2" fontId="72" fillId="0" borderId="10" xfId="0" applyNumberFormat="1" applyFont="1" applyBorder="1" applyAlignment="1">
      <alignment horizontal="center" vertical="center"/>
    </xf>
    <xf numFmtId="2" fontId="72" fillId="0" borderId="11" xfId="0" applyNumberFormat="1" applyFont="1" applyBorder="1" applyAlignment="1">
      <alignment horizontal="center" vertical="center"/>
    </xf>
    <xf numFmtId="0" fontId="37" fillId="0" borderId="12" xfId="3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164" fontId="72" fillId="0" borderId="4" xfId="0" applyNumberFormat="1" applyFont="1" applyBorder="1" applyAlignment="1">
      <alignment horizontal="center" vertical="center"/>
    </xf>
    <xf numFmtId="164" fontId="72" fillId="0" borderId="6" xfId="0" applyNumberFormat="1" applyFont="1" applyBorder="1" applyAlignment="1">
      <alignment horizontal="center" vertical="center"/>
    </xf>
    <xf numFmtId="164" fontId="72" fillId="0" borderId="10" xfId="0" applyNumberFormat="1" applyFont="1" applyBorder="1" applyAlignment="1">
      <alignment horizontal="center" vertical="center"/>
    </xf>
    <xf numFmtId="164" fontId="72" fillId="0" borderId="11" xfId="0" applyNumberFormat="1" applyFont="1" applyBorder="1" applyAlignment="1">
      <alignment horizontal="center" vertical="center"/>
    </xf>
    <xf numFmtId="0" fontId="37" fillId="0" borderId="32" xfId="3" applyFont="1" applyBorder="1" applyAlignment="1">
      <alignment horizontal="left" vertical="center" wrapText="1"/>
    </xf>
    <xf numFmtId="0" fontId="37" fillId="0" borderId="33" xfId="3" applyFont="1" applyBorder="1" applyAlignment="1">
      <alignment horizontal="left" vertical="center" wrapText="1"/>
    </xf>
    <xf numFmtId="0" fontId="59" fillId="0" borderId="0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71" fillId="0" borderId="4" xfId="3" applyFont="1" applyBorder="1" applyAlignment="1">
      <alignment horizontal="center" vertical="center"/>
    </xf>
    <xf numFmtId="0" fontId="71" fillId="0" borderId="6" xfId="3" applyFont="1" applyBorder="1" applyAlignment="1">
      <alignment horizontal="center" vertical="center"/>
    </xf>
    <xf numFmtId="0" fontId="71" fillId="0" borderId="10" xfId="3" applyFont="1" applyBorder="1" applyAlignment="1">
      <alignment horizontal="center" vertical="center"/>
    </xf>
    <xf numFmtId="0" fontId="71" fillId="0" borderId="11" xfId="3" applyFont="1" applyBorder="1" applyAlignment="1">
      <alignment horizontal="center" vertical="center"/>
    </xf>
    <xf numFmtId="0" fontId="18" fillId="0" borderId="0" xfId="3" applyFont="1" applyAlignment="1">
      <alignment horizontal="right"/>
    </xf>
    <xf numFmtId="0" fontId="57" fillId="0" borderId="0" xfId="3" applyFont="1" applyBorder="1" applyAlignment="1">
      <alignment horizontal="center"/>
    </xf>
    <xf numFmtId="0" fontId="23" fillId="0" borderId="46" xfId="3" applyFont="1" applyBorder="1" applyAlignment="1">
      <alignment horizontal="center" vertical="center" wrapText="1"/>
    </xf>
    <xf numFmtId="0" fontId="23" fillId="0" borderId="21" xfId="3" applyFont="1" applyBorder="1" applyAlignment="1">
      <alignment horizontal="center" vertical="center" wrapText="1"/>
    </xf>
    <xf numFmtId="0" fontId="23" fillId="0" borderId="24" xfId="3" applyFont="1" applyBorder="1" applyAlignment="1">
      <alignment horizontal="center" vertical="center" wrapText="1"/>
    </xf>
    <xf numFmtId="0" fontId="38" fillId="0" borderId="47" xfId="3" applyFont="1" applyBorder="1" applyAlignment="1">
      <alignment horizontal="center" vertical="center" wrapText="1"/>
    </xf>
    <xf numFmtId="0" fontId="38" fillId="0" borderId="5" xfId="3" applyFont="1" applyBorder="1" applyAlignment="1">
      <alignment horizontal="center" vertical="center" wrapText="1"/>
    </xf>
    <xf numFmtId="0" fontId="38" fillId="0" borderId="48" xfId="3" applyFont="1" applyBorder="1" applyAlignment="1">
      <alignment horizontal="center" vertical="center" wrapText="1"/>
    </xf>
    <xf numFmtId="0" fontId="38" fillId="0" borderId="22" xfId="3" applyFont="1" applyBorder="1" applyAlignment="1">
      <alignment horizontal="center" vertical="center" wrapText="1"/>
    </xf>
    <xf numFmtId="0" fontId="38" fillId="0" borderId="0" xfId="3" applyFont="1" applyBorder="1" applyAlignment="1">
      <alignment horizontal="center" vertical="center" wrapText="1"/>
    </xf>
    <xf numFmtId="0" fontId="38" fillId="0" borderId="23" xfId="3" applyFont="1" applyBorder="1" applyAlignment="1">
      <alignment horizontal="center" vertical="center" wrapText="1"/>
    </xf>
    <xf numFmtId="0" fontId="38" fillId="0" borderId="25" xfId="3" applyFont="1" applyBorder="1" applyAlignment="1">
      <alignment horizontal="center" vertical="center" wrapText="1"/>
    </xf>
    <xf numFmtId="0" fontId="38" fillId="0" borderId="26" xfId="3" applyFont="1" applyBorder="1" applyAlignment="1">
      <alignment horizontal="center" vertical="center" wrapText="1"/>
    </xf>
    <xf numFmtId="0" fontId="38" fillId="0" borderId="27" xfId="3" applyFont="1" applyBorder="1" applyAlignment="1">
      <alignment horizontal="center" vertical="center" wrapText="1"/>
    </xf>
    <xf numFmtId="0" fontId="37" fillId="0" borderId="30" xfId="3" applyFont="1" applyBorder="1" applyAlignment="1">
      <alignment horizontal="left" vertical="center" wrapText="1"/>
    </xf>
    <xf numFmtId="0" fontId="37" fillId="0" borderId="20" xfId="3" applyFont="1" applyBorder="1" applyAlignment="1">
      <alignment horizontal="left" vertical="center" wrapText="1"/>
    </xf>
    <xf numFmtId="0" fontId="38" fillId="2" borderId="12" xfId="9" applyFont="1" applyFill="1" applyBorder="1" applyAlignment="1">
      <alignment horizontal="center" vertical="center" wrapText="1"/>
    </xf>
    <xf numFmtId="0" fontId="38" fillId="2" borderId="12" xfId="9" applyFont="1" applyFill="1" applyBorder="1" applyAlignment="1">
      <alignment horizontal="center" vertical="center" textRotation="90" wrapText="1"/>
    </xf>
    <xf numFmtId="0" fontId="13" fillId="2" borderId="4" xfId="9" applyFont="1" applyFill="1" applyBorder="1" applyAlignment="1">
      <alignment horizontal="center" vertical="center"/>
    </xf>
    <xf numFmtId="0" fontId="13" fillId="2" borderId="5" xfId="9" applyFont="1" applyFill="1" applyBorder="1" applyAlignment="1">
      <alignment horizontal="center" vertical="center"/>
    </xf>
    <xf numFmtId="0" fontId="13" fillId="2" borderId="6" xfId="9" applyFont="1" applyFill="1" applyBorder="1" applyAlignment="1">
      <alignment horizontal="center" vertical="center"/>
    </xf>
    <xf numFmtId="0" fontId="86" fillId="2" borderId="2" xfId="9" applyFont="1" applyFill="1" applyBorder="1" applyAlignment="1">
      <alignment horizontal="center"/>
    </xf>
    <xf numFmtId="0" fontId="86" fillId="2" borderId="3" xfId="9" applyFont="1" applyFill="1" applyBorder="1" applyAlignment="1">
      <alignment horizontal="center"/>
    </xf>
    <xf numFmtId="0" fontId="37" fillId="2" borderId="2" xfId="9" quotePrefix="1" applyFont="1" applyFill="1" applyBorder="1" applyAlignment="1">
      <alignment horizontal="center"/>
    </xf>
    <xf numFmtId="0" fontId="37" fillId="2" borderId="2" xfId="9" applyFont="1" applyFill="1" applyBorder="1" applyAlignment="1">
      <alignment horizontal="center"/>
    </xf>
    <xf numFmtId="165" fontId="86" fillId="2" borderId="2" xfId="9" applyNumberFormat="1" applyFont="1" applyFill="1" applyBorder="1" applyAlignment="1">
      <alignment horizontal="center"/>
    </xf>
    <xf numFmtId="0" fontId="13" fillId="2" borderId="8" xfId="9" applyFont="1" applyFill="1" applyBorder="1" applyAlignment="1">
      <alignment horizontal="right"/>
    </xf>
    <xf numFmtId="0" fontId="13" fillId="2" borderId="8" xfId="9" applyFont="1" applyFill="1" applyBorder="1" applyAlignment="1">
      <alignment horizontal="center"/>
    </xf>
    <xf numFmtId="0" fontId="86" fillId="2" borderId="8" xfId="9" applyFont="1" applyFill="1" applyBorder="1" applyAlignment="1">
      <alignment horizontal="center"/>
    </xf>
    <xf numFmtId="0" fontId="86" fillId="2" borderId="11" xfId="9" applyFont="1" applyFill="1" applyBorder="1" applyAlignment="1">
      <alignment horizontal="center"/>
    </xf>
    <xf numFmtId="0" fontId="2" fillId="2" borderId="0" xfId="9" applyFont="1" applyFill="1" applyBorder="1" applyAlignment="1">
      <alignment horizontal="center"/>
    </xf>
    <xf numFmtId="0" fontId="24" fillId="2" borderId="0" xfId="9" applyFont="1" applyFill="1" applyBorder="1" applyAlignment="1">
      <alignment horizontal="right"/>
    </xf>
    <xf numFmtId="0" fontId="38" fillId="2" borderId="13" xfId="9" applyFont="1" applyFill="1" applyBorder="1" applyAlignment="1">
      <alignment horizontal="center" vertical="center" textRotation="90" wrapText="1"/>
    </xf>
    <xf numFmtId="0" fontId="38" fillId="2" borderId="15" xfId="9" applyFont="1" applyFill="1" applyBorder="1" applyAlignment="1">
      <alignment horizontal="center" vertical="center" textRotation="90" wrapText="1"/>
    </xf>
    <xf numFmtId="0" fontId="38" fillId="2" borderId="14" xfId="9" applyFont="1" applyFill="1" applyBorder="1" applyAlignment="1">
      <alignment horizontal="center" vertical="center" textRotation="90" wrapText="1"/>
    </xf>
    <xf numFmtId="0" fontId="38" fillId="2" borderId="4" xfId="9" applyFont="1" applyFill="1" applyBorder="1" applyAlignment="1">
      <alignment horizontal="center" vertical="center" wrapText="1"/>
    </xf>
    <xf numFmtId="0" fontId="38" fillId="2" borderId="5" xfId="9" applyFont="1" applyFill="1" applyBorder="1" applyAlignment="1">
      <alignment horizontal="center" vertical="center" wrapText="1"/>
    </xf>
    <xf numFmtId="0" fontId="38" fillId="2" borderId="6" xfId="9" applyFont="1" applyFill="1" applyBorder="1" applyAlignment="1">
      <alignment horizontal="center" vertical="center" wrapText="1"/>
    </xf>
    <xf numFmtId="0" fontId="38" fillId="2" borderId="10" xfId="9" applyFont="1" applyFill="1" applyBorder="1" applyAlignment="1">
      <alignment horizontal="center" vertical="center" wrapText="1"/>
    </xf>
    <xf numFmtId="0" fontId="38" fillId="2" borderId="8" xfId="9" applyFont="1" applyFill="1" applyBorder="1" applyAlignment="1">
      <alignment horizontal="center" vertical="center" wrapText="1"/>
    </xf>
    <xf numFmtId="0" fontId="38" fillId="2" borderId="11" xfId="9" applyFont="1" applyFill="1" applyBorder="1" applyAlignment="1">
      <alignment horizontal="center" vertical="center" wrapText="1"/>
    </xf>
    <xf numFmtId="164" fontId="38" fillId="2" borderId="12" xfId="9" applyNumberFormat="1" applyFont="1" applyFill="1" applyBorder="1" applyAlignment="1">
      <alignment horizontal="center" vertical="center" textRotation="90" wrapText="1"/>
    </xf>
    <xf numFmtId="0" fontId="37" fillId="2" borderId="4" xfId="9" applyFont="1" applyFill="1" applyBorder="1" applyAlignment="1">
      <alignment horizontal="center"/>
    </xf>
    <xf numFmtId="0" fontId="37" fillId="2" borderId="5" xfId="9" applyFont="1" applyFill="1" applyBorder="1" applyAlignment="1">
      <alignment horizontal="center"/>
    </xf>
    <xf numFmtId="0" fontId="37" fillId="2" borderId="6" xfId="9" applyFont="1" applyFill="1" applyBorder="1" applyAlignment="1">
      <alignment horizontal="center"/>
    </xf>
    <xf numFmtId="0" fontId="37" fillId="2" borderId="4" xfId="9" applyFont="1" applyFill="1" applyBorder="1" applyAlignment="1">
      <alignment horizontal="center" wrapText="1"/>
    </xf>
    <xf numFmtId="0" fontId="37" fillId="2" borderId="5" xfId="9" applyFont="1" applyFill="1" applyBorder="1" applyAlignment="1">
      <alignment horizontal="center" wrapText="1"/>
    </xf>
    <xf numFmtId="0" fontId="37" fillId="2" borderId="6" xfId="9" applyFont="1" applyFill="1" applyBorder="1" applyAlignment="1">
      <alignment horizontal="center" wrapText="1"/>
    </xf>
    <xf numFmtId="0" fontId="37" fillId="2" borderId="7" xfId="9" applyFont="1" applyFill="1" applyBorder="1" applyAlignment="1">
      <alignment horizontal="center" wrapText="1"/>
    </xf>
    <xf numFmtId="0" fontId="37" fillId="2" borderId="0" xfId="9" applyFont="1" applyFill="1" applyBorder="1" applyAlignment="1">
      <alignment horizontal="center" wrapText="1"/>
    </xf>
    <xf numFmtId="0" fontId="37" fillId="2" borderId="9" xfId="9" applyFont="1" applyFill="1" applyBorder="1" applyAlignment="1">
      <alignment horizontal="center" wrapText="1"/>
    </xf>
    <xf numFmtId="0" fontId="37" fillId="2" borderId="10" xfId="9" applyFont="1" applyFill="1" applyBorder="1" applyAlignment="1">
      <alignment horizontal="center" wrapText="1"/>
    </xf>
    <xf numFmtId="0" fontId="37" fillId="2" borderId="8" xfId="9" applyFont="1" applyFill="1" applyBorder="1" applyAlignment="1">
      <alignment horizontal="center" wrapText="1"/>
    </xf>
    <xf numFmtId="0" fontId="37" fillId="2" borderId="11" xfId="9" applyFont="1" applyFill="1" applyBorder="1" applyAlignment="1">
      <alignment horizontal="center" wrapText="1"/>
    </xf>
    <xf numFmtId="0" fontId="37" fillId="2" borderId="7" xfId="9" applyFont="1" applyFill="1" applyBorder="1" applyAlignment="1">
      <alignment horizontal="center"/>
    </xf>
    <xf numFmtId="0" fontId="37" fillId="2" borderId="0" xfId="9" applyFont="1" applyFill="1" applyBorder="1" applyAlignment="1">
      <alignment horizontal="center"/>
    </xf>
    <xf numFmtId="0" fontId="37" fillId="2" borderId="9" xfId="9" applyFont="1" applyFill="1" applyBorder="1" applyAlignment="1">
      <alignment horizontal="center"/>
    </xf>
    <xf numFmtId="0" fontId="37" fillId="2" borderId="10" xfId="9" applyFont="1" applyFill="1" applyBorder="1" applyAlignment="1">
      <alignment horizontal="center"/>
    </xf>
    <xf numFmtId="0" fontId="37" fillId="2" borderId="8" xfId="9" applyFont="1" applyFill="1" applyBorder="1" applyAlignment="1">
      <alignment horizontal="center"/>
    </xf>
    <xf numFmtId="0" fontId="37" fillId="2" borderId="11" xfId="9" applyFont="1" applyFill="1" applyBorder="1" applyAlignment="1">
      <alignment horizontal="center"/>
    </xf>
    <xf numFmtId="0" fontId="64" fillId="2" borderId="4" xfId="9" applyFont="1" applyFill="1" applyBorder="1" applyAlignment="1">
      <alignment horizontal="center"/>
    </xf>
    <xf numFmtId="0" fontId="64" fillId="2" borderId="6" xfId="9" applyFont="1" applyFill="1" applyBorder="1" applyAlignment="1">
      <alignment horizontal="center"/>
    </xf>
    <xf numFmtId="0" fontId="64" fillId="2" borderId="5" xfId="9" applyFont="1" applyFill="1" applyBorder="1" applyAlignment="1">
      <alignment horizontal="center"/>
    </xf>
    <xf numFmtId="0" fontId="66" fillId="2" borderId="10" xfId="9" applyFont="1" applyFill="1" applyBorder="1" applyAlignment="1">
      <alignment horizontal="center"/>
    </xf>
    <xf numFmtId="0" fontId="66" fillId="2" borderId="8" xfId="9" applyFont="1" applyFill="1" applyBorder="1" applyAlignment="1">
      <alignment horizontal="center"/>
    </xf>
    <xf numFmtId="0" fontId="66" fillId="2" borderId="11" xfId="9" applyFont="1" applyFill="1" applyBorder="1" applyAlignment="1">
      <alignment horizontal="center"/>
    </xf>
    <xf numFmtId="0" fontId="66" fillId="2" borderId="7" xfId="9" applyFont="1" applyFill="1" applyBorder="1" applyAlignment="1">
      <alignment horizontal="center" wrapText="1"/>
    </xf>
    <xf numFmtId="0" fontId="66" fillId="2" borderId="9" xfId="9" applyFont="1" applyFill="1" applyBorder="1" applyAlignment="1">
      <alignment horizontal="center" wrapText="1"/>
    </xf>
    <xf numFmtId="0" fontId="66" fillId="2" borderId="10" xfId="9" applyFont="1" applyFill="1" applyBorder="1" applyAlignment="1">
      <alignment horizontal="center" wrapText="1"/>
    </xf>
    <xf numFmtId="0" fontId="66" fillId="2" borderId="11" xfId="9" applyFont="1" applyFill="1" applyBorder="1" applyAlignment="1">
      <alignment horizontal="center" wrapText="1"/>
    </xf>
    <xf numFmtId="164" fontId="1" fillId="2" borderId="12" xfId="9" applyNumberFormat="1" applyFont="1" applyFill="1" applyBorder="1" applyAlignment="1">
      <alignment horizontal="center" vertical="center"/>
    </xf>
    <xf numFmtId="0" fontId="4" fillId="2" borderId="12" xfId="9" applyFill="1" applyBorder="1" applyAlignment="1">
      <alignment horizontal="center" vertical="center"/>
    </xf>
    <xf numFmtId="164" fontId="4" fillId="2" borderId="12" xfId="9" applyNumberFormat="1" applyFill="1" applyBorder="1" applyAlignment="1">
      <alignment horizontal="center" vertical="center"/>
    </xf>
    <xf numFmtId="1" fontId="4" fillId="2" borderId="12" xfId="9" applyNumberFormat="1" applyFill="1" applyBorder="1" applyAlignment="1">
      <alignment horizontal="center" vertical="center"/>
    </xf>
    <xf numFmtId="2" fontId="4" fillId="2" borderId="12" xfId="9" applyNumberFormat="1" applyFill="1" applyBorder="1" applyAlignment="1">
      <alignment horizontal="center" vertical="center"/>
    </xf>
    <xf numFmtId="0" fontId="1" fillId="2" borderId="12" xfId="9" applyFont="1" applyFill="1" applyBorder="1" applyAlignment="1">
      <alignment horizontal="center" vertical="center"/>
    </xf>
    <xf numFmtId="1" fontId="1" fillId="2" borderId="12" xfId="9" applyNumberFormat="1" applyFont="1" applyFill="1" applyBorder="1" applyAlignment="1">
      <alignment horizontal="center" vertical="center"/>
    </xf>
    <xf numFmtId="2" fontId="1" fillId="2" borderId="12" xfId="9" applyNumberFormat="1" applyFont="1" applyFill="1" applyBorder="1" applyAlignment="1">
      <alignment horizontal="center" vertical="center"/>
    </xf>
    <xf numFmtId="1" fontId="69" fillId="2" borderId="12" xfId="9" applyNumberFormat="1" applyFont="1" applyFill="1" applyBorder="1" applyAlignment="1">
      <alignment horizontal="center" vertical="center"/>
    </xf>
    <xf numFmtId="0" fontId="69" fillId="2" borderId="12" xfId="9" applyFont="1" applyFill="1" applyBorder="1" applyAlignment="1">
      <alignment horizontal="center" vertical="center"/>
    </xf>
    <xf numFmtId="164" fontId="69" fillId="2" borderId="12" xfId="9" applyNumberFormat="1" applyFont="1" applyFill="1" applyBorder="1" applyAlignment="1">
      <alignment horizontal="center" vertical="center"/>
    </xf>
    <xf numFmtId="0" fontId="2" fillId="2" borderId="12" xfId="9" applyFont="1" applyFill="1" applyBorder="1" applyAlignment="1">
      <alignment horizontal="center" vertical="center"/>
    </xf>
    <xf numFmtId="1" fontId="2" fillId="2" borderId="12" xfId="9" applyNumberFormat="1" applyFont="1" applyFill="1" applyBorder="1" applyAlignment="1">
      <alignment horizontal="center" vertical="center"/>
    </xf>
    <xf numFmtId="2" fontId="2" fillId="2" borderId="12" xfId="9" applyNumberFormat="1" applyFont="1" applyFill="1" applyBorder="1" applyAlignment="1">
      <alignment horizontal="center" vertical="center"/>
    </xf>
    <xf numFmtId="2" fontId="69" fillId="2" borderId="12" xfId="9" applyNumberFormat="1" applyFont="1" applyFill="1" applyBorder="1" applyAlignment="1">
      <alignment horizontal="center" vertical="center"/>
    </xf>
    <xf numFmtId="164" fontId="2" fillId="2" borderId="12" xfId="9" applyNumberFormat="1" applyFont="1" applyFill="1" applyBorder="1" applyAlignment="1">
      <alignment horizontal="center" vertical="center"/>
    </xf>
    <xf numFmtId="2" fontId="79" fillId="2" borderId="0" xfId="9" applyNumberFormat="1" applyFont="1" applyFill="1" applyAlignment="1">
      <alignment horizontal="center" vertical="center"/>
    </xf>
    <xf numFmtId="0" fontId="4" fillId="2" borderId="0" xfId="9" applyFill="1" applyAlignment="1">
      <alignment horizontal="center"/>
    </xf>
    <xf numFmtId="0" fontId="4" fillId="2" borderId="0" xfId="9" applyFill="1" applyAlignment="1">
      <alignment horizontal="right"/>
    </xf>
    <xf numFmtId="0" fontId="34" fillId="2" borderId="12" xfId="9" applyFont="1" applyFill="1" applyBorder="1" applyAlignment="1">
      <alignment horizontal="center" vertical="center" wrapText="1"/>
    </xf>
    <xf numFmtId="0" fontId="34" fillId="2" borderId="4" xfId="9" applyFont="1" applyFill="1" applyBorder="1" applyAlignment="1">
      <alignment horizontal="center" vertical="center" wrapText="1"/>
    </xf>
    <xf numFmtId="0" fontId="34" fillId="2" borderId="5" xfId="9" applyFont="1" applyFill="1" applyBorder="1" applyAlignment="1">
      <alignment horizontal="center" vertical="center" wrapText="1"/>
    </xf>
    <xf numFmtId="0" fontId="34" fillId="2" borderId="6" xfId="9" applyFont="1" applyFill="1" applyBorder="1" applyAlignment="1">
      <alignment horizontal="center" vertical="center" wrapText="1"/>
    </xf>
    <xf numFmtId="0" fontId="34" fillId="2" borderId="7" xfId="9" applyFont="1" applyFill="1" applyBorder="1" applyAlignment="1">
      <alignment horizontal="center" vertical="center" wrapText="1"/>
    </xf>
    <xf numFmtId="0" fontId="34" fillId="2" borderId="0" xfId="9" applyFont="1" applyFill="1" applyBorder="1" applyAlignment="1">
      <alignment horizontal="center" vertical="center" wrapText="1"/>
    </xf>
    <xf numFmtId="0" fontId="34" fillId="2" borderId="9" xfId="9" applyFont="1" applyFill="1" applyBorder="1" applyAlignment="1">
      <alignment horizontal="center" vertical="center" wrapText="1"/>
    </xf>
    <xf numFmtId="0" fontId="34" fillId="2" borderId="10" xfId="9" applyFont="1" applyFill="1" applyBorder="1" applyAlignment="1">
      <alignment horizontal="center" vertical="center" wrapText="1"/>
    </xf>
    <xf numFmtId="0" fontId="34" fillId="2" borderId="8" xfId="9" applyFont="1" applyFill="1" applyBorder="1" applyAlignment="1">
      <alignment horizontal="center" vertical="center" wrapText="1"/>
    </xf>
    <xf numFmtId="0" fontId="34" fillId="2" borderId="11" xfId="9" applyFont="1" applyFill="1" applyBorder="1" applyAlignment="1">
      <alignment horizontal="center" vertical="center" wrapText="1"/>
    </xf>
    <xf numFmtId="0" fontId="4" fillId="2" borderId="8" xfId="9" applyFill="1" applyBorder="1" applyAlignment="1">
      <alignment horizontal="center"/>
    </xf>
    <xf numFmtId="0" fontId="34" fillId="0" borderId="5" xfId="9" applyFont="1" applyBorder="1" applyAlignment="1">
      <alignment horizontal="right"/>
    </xf>
    <xf numFmtId="0" fontId="64" fillId="0" borderId="4" xfId="9" applyFont="1" applyBorder="1" applyAlignment="1">
      <alignment horizontal="center"/>
    </xf>
    <xf numFmtId="0" fontId="64" fillId="0" borderId="6" xfId="9" applyFont="1" applyBorder="1" applyAlignment="1">
      <alignment horizontal="center"/>
    </xf>
    <xf numFmtId="0" fontId="64" fillId="0" borderId="5" xfId="9" applyFont="1" applyBorder="1" applyAlignment="1">
      <alignment horizontal="center"/>
    </xf>
    <xf numFmtId="0" fontId="65" fillId="0" borderId="10" xfId="9" applyFont="1" applyBorder="1" applyAlignment="1">
      <alignment horizontal="center"/>
    </xf>
    <xf numFmtId="0" fontId="65" fillId="0" borderId="11" xfId="9" applyFont="1" applyBorder="1" applyAlignment="1">
      <alignment horizontal="center"/>
    </xf>
    <xf numFmtId="0" fontId="66" fillId="0" borderId="10" xfId="9" applyFont="1" applyBorder="1" applyAlignment="1">
      <alignment horizontal="center"/>
    </xf>
    <xf numFmtId="0" fontId="66" fillId="0" borderId="8" xfId="9" applyFont="1" applyBorder="1" applyAlignment="1">
      <alignment horizontal="center"/>
    </xf>
    <xf numFmtId="0" fontId="66" fillId="0" borderId="11" xfId="9" applyFont="1" applyBorder="1" applyAlignment="1">
      <alignment horizontal="center"/>
    </xf>
    <xf numFmtId="0" fontId="24" fillId="0" borderId="7" xfId="9" applyFont="1" applyBorder="1" applyAlignment="1">
      <alignment horizontal="left" vertical="top" wrapText="1"/>
    </xf>
    <xf numFmtId="0" fontId="24" fillId="0" borderId="0" xfId="9" applyFont="1" applyBorder="1" applyAlignment="1">
      <alignment horizontal="left" vertical="top" wrapText="1"/>
    </xf>
    <xf numFmtId="0" fontId="24" fillId="0" borderId="9" xfId="9" applyFont="1" applyBorder="1" applyAlignment="1">
      <alignment horizontal="left" vertical="top" wrapText="1"/>
    </xf>
    <xf numFmtId="0" fontId="24" fillId="0" borderId="10" xfId="9" applyFont="1" applyBorder="1" applyAlignment="1">
      <alignment horizontal="left" vertical="top" wrapText="1"/>
    </xf>
    <xf numFmtId="0" fontId="24" fillId="0" borderId="8" xfId="9" applyFont="1" applyBorder="1" applyAlignment="1">
      <alignment horizontal="left" vertical="top" wrapText="1"/>
    </xf>
    <xf numFmtId="0" fontId="24" fillId="0" borderId="11" xfId="9" applyFont="1" applyBorder="1" applyAlignment="1">
      <alignment horizontal="left" vertical="top" wrapText="1"/>
    </xf>
    <xf numFmtId="0" fontId="45" fillId="0" borderId="0" xfId="9" applyFont="1" applyBorder="1" applyAlignment="1">
      <alignment horizontal="center"/>
    </xf>
    <xf numFmtId="0" fontId="34" fillId="0" borderId="12" xfId="9" applyFont="1" applyBorder="1" applyAlignment="1">
      <alignment horizontal="center" vertical="center" wrapText="1"/>
    </xf>
    <xf numFmtId="0" fontId="34" fillId="0" borderId="4" xfId="9" applyFont="1" applyBorder="1" applyAlignment="1">
      <alignment horizontal="center" vertical="center" wrapText="1"/>
    </xf>
    <xf numFmtId="0" fontId="34" fillId="0" borderId="5" xfId="9" applyFont="1" applyBorder="1" applyAlignment="1">
      <alignment horizontal="center" vertical="center" wrapText="1"/>
    </xf>
    <xf numFmtId="0" fontId="34" fillId="0" borderId="6" xfId="9" applyFont="1" applyBorder="1" applyAlignment="1">
      <alignment horizontal="center" vertical="center" wrapText="1"/>
    </xf>
    <xf numFmtId="0" fontId="34" fillId="0" borderId="7" xfId="9" applyFont="1" applyBorder="1" applyAlignment="1">
      <alignment horizontal="center" vertical="center" wrapText="1"/>
    </xf>
    <xf numFmtId="0" fontId="34" fillId="0" borderId="0" xfId="9" applyFont="1" applyBorder="1" applyAlignment="1">
      <alignment horizontal="center" vertical="center" wrapText="1"/>
    </xf>
    <xf numFmtId="0" fontId="34" fillId="0" borderId="9" xfId="9" applyFont="1" applyBorder="1" applyAlignment="1">
      <alignment horizontal="center" vertical="center" wrapText="1"/>
    </xf>
    <xf numFmtId="0" fontId="34" fillId="0" borderId="10" xfId="9" applyFont="1" applyBorder="1" applyAlignment="1">
      <alignment horizontal="center" vertical="center" wrapText="1"/>
    </xf>
    <xf numFmtId="0" fontId="34" fillId="0" borderId="8" xfId="9" applyFont="1" applyBorder="1" applyAlignment="1">
      <alignment horizontal="center" vertical="center" wrapText="1"/>
    </xf>
    <xf numFmtId="0" fontId="34" fillId="0" borderId="11" xfId="9" applyFont="1" applyBorder="1" applyAlignment="1">
      <alignment horizontal="center" vertical="center" wrapText="1"/>
    </xf>
    <xf numFmtId="0" fontId="67" fillId="0" borderId="2" xfId="9" applyFont="1" applyFill="1" applyBorder="1" applyAlignment="1">
      <alignment horizontal="left"/>
    </xf>
    <xf numFmtId="0" fontId="67" fillId="0" borderId="3" xfId="9" applyFont="1" applyFill="1" applyBorder="1" applyAlignment="1">
      <alignment horizontal="left"/>
    </xf>
    <xf numFmtId="0" fontId="34" fillId="0" borderId="2" xfId="9" applyFont="1" applyFill="1" applyBorder="1" applyAlignment="1">
      <alignment horizontal="left"/>
    </xf>
    <xf numFmtId="0" fontId="34" fillId="0" borderId="3" xfId="9" applyFont="1" applyFill="1" applyBorder="1" applyAlignment="1">
      <alignment horizontal="left"/>
    </xf>
    <xf numFmtId="0" fontId="24" fillId="0" borderId="13" xfId="9" applyFont="1" applyBorder="1" applyAlignment="1">
      <alignment horizontal="center" vertical="center" wrapText="1"/>
    </xf>
    <xf numFmtId="0" fontId="24" fillId="0" borderId="14" xfId="9" applyFont="1" applyBorder="1" applyAlignment="1">
      <alignment horizontal="center" vertical="center" wrapText="1"/>
    </xf>
    <xf numFmtId="0" fontId="34" fillId="0" borderId="13" xfId="9" applyFont="1" applyBorder="1" applyAlignment="1">
      <alignment horizontal="center" vertical="center" wrapText="1"/>
    </xf>
    <xf numFmtId="0" fontId="34" fillId="0" borderId="14" xfId="9" applyFont="1" applyBorder="1" applyAlignment="1">
      <alignment horizontal="center" vertical="center" wrapText="1"/>
    </xf>
    <xf numFmtId="0" fontId="24" fillId="2" borderId="7" xfId="9" applyFont="1" applyFill="1" applyBorder="1" applyAlignment="1">
      <alignment horizontal="center" vertical="center" wrapText="1"/>
    </xf>
    <xf numFmtId="0" fontId="24" fillId="2" borderId="0" xfId="9" applyFont="1" applyFill="1" applyBorder="1" applyAlignment="1">
      <alignment horizontal="center" vertical="center" wrapText="1"/>
    </xf>
    <xf numFmtId="0" fontId="24" fillId="2" borderId="9" xfId="9" applyFont="1" applyFill="1" applyBorder="1" applyAlignment="1">
      <alignment horizontal="center" vertical="center" wrapText="1"/>
    </xf>
    <xf numFmtId="0" fontId="24" fillId="2" borderId="10" xfId="9" applyFont="1" applyFill="1" applyBorder="1" applyAlignment="1">
      <alignment horizontal="center" vertical="center" wrapText="1"/>
    </xf>
    <xf numFmtId="0" fontId="24" fillId="2" borderId="8" xfId="9" applyFont="1" applyFill="1" applyBorder="1" applyAlignment="1">
      <alignment horizontal="center" vertical="center" wrapText="1"/>
    </xf>
    <xf numFmtId="0" fontId="24" fillId="2" borderId="11" xfId="9" applyFont="1" applyFill="1" applyBorder="1" applyAlignment="1">
      <alignment horizontal="center" vertical="center" wrapText="1"/>
    </xf>
    <xf numFmtId="0" fontId="24" fillId="0" borderId="4" xfId="9" applyFont="1" applyBorder="1" applyAlignment="1">
      <alignment horizontal="left"/>
    </xf>
    <xf numFmtId="0" fontId="24" fillId="0" borderId="5" xfId="9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73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0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textRotation="90" wrapText="1"/>
    </xf>
    <xf numFmtId="0" fontId="74" fillId="0" borderId="0" xfId="0" applyFont="1" applyBorder="1" applyAlignment="1">
      <alignment horizontal="center"/>
    </xf>
    <xf numFmtId="0" fontId="10" fillId="0" borderId="2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center" vertical="center" textRotation="90"/>
    </xf>
    <xf numFmtId="0" fontId="19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center" vertical="center" textRotation="90"/>
    </xf>
    <xf numFmtId="0" fontId="11" fillId="0" borderId="6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 textRotation="90"/>
    </xf>
    <xf numFmtId="0" fontId="11" fillId="0" borderId="10" xfId="0" applyFont="1" applyBorder="1" applyAlignment="1">
      <alignment horizontal="center" vertical="center" textRotation="90"/>
    </xf>
    <xf numFmtId="0" fontId="11" fillId="0" borderId="1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1" fillId="0" borderId="2" xfId="0" applyFont="1" applyBorder="1" applyAlignment="1">
      <alignment horizontal="left"/>
    </xf>
    <xf numFmtId="0" fontId="11" fillId="0" borderId="4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8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11" fillId="0" borderId="12" xfId="0" applyFont="1" applyBorder="1" applyAlignment="1">
      <alignment horizontal="left" vertical="center" indent="1"/>
    </xf>
    <xf numFmtId="1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right"/>
    </xf>
    <xf numFmtId="164" fontId="10" fillId="0" borderId="12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2" fontId="37" fillId="2" borderId="12" xfId="9" applyNumberFormat="1" applyFont="1" applyFill="1" applyBorder="1" applyAlignment="1">
      <alignment horizontal="center"/>
    </xf>
  </cellXfs>
  <cellStyles count="13">
    <cellStyle name="Hipervínculo" xfId="12" builtinId="8"/>
    <cellStyle name="Millares 3" xfId="10"/>
    <cellStyle name="Normal" xfId="0" builtinId="0"/>
    <cellStyle name="Normal 2" xfId="1"/>
    <cellStyle name="Normal 2 2" xfId="3"/>
    <cellStyle name="Normal 2 3" xfId="6"/>
    <cellStyle name="Normal 3" xfId="2"/>
    <cellStyle name="Normal 3 2" xfId="4"/>
    <cellStyle name="Normal 3 2 2" xfId="7"/>
    <cellStyle name="Normal 3 3" xfId="5"/>
    <cellStyle name="Normal 4" xfId="9"/>
    <cellStyle name="Normal 5" xfId="11"/>
    <cellStyle name="Porcentaj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SELLO CALIZO'!$O$24:$O$38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CALIZO'!$P$24:$P$38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SELLO CALIZO'!$O$24:$O$38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CALIZO'!$Q$24:$Q$38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SELLO CALIZO'!$O$25:$O$38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SELLO CALIZO'!$F$26:$F$39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99.749077861139682</c:v>
                </c:pt>
                <c:pt idx="6">
                  <c:v>75.133616038943103</c:v>
                </c:pt>
                <c:pt idx="7">
                  <c:v>53.167892003111419</c:v>
                </c:pt>
                <c:pt idx="8">
                  <c:v>2.923242917722618</c:v>
                </c:pt>
                <c:pt idx="9">
                  <c:v>2.0550523172659396</c:v>
                </c:pt>
                <c:pt idx="10">
                  <c:v>0.44162296439413562</c:v>
                </c:pt>
                <c:pt idx="11">
                  <c:v>0.44162296439413562</c:v>
                </c:pt>
                <c:pt idx="12">
                  <c:v>0.44162296439413562</c:v>
                </c:pt>
                <c:pt idx="13">
                  <c:v>0.44162296439413562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1264"/>
        <c:axId val="169961904"/>
      </c:scatterChart>
      <c:valAx>
        <c:axId val="170031264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69961904"/>
        <c:crossesAt val="7.5000000000000011E-2"/>
        <c:crossBetween val="midCat"/>
      </c:valAx>
      <c:valAx>
        <c:axId val="169961904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031264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TEORICO'!$O$24:$O$38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TEORICO'!$P$24:$P$38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TEORICO'!$O$24:$O$38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TEORICO'!$Q$24:$Q$38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TEORICO'!$O$25:$O$38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TEORICO'!$F$26:$F$39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99.646814460536859</c:v>
                </c:pt>
                <c:pt idx="6">
                  <c:v>80.227717570710553</c:v>
                </c:pt>
                <c:pt idx="7">
                  <c:v>68.200780629019334</c:v>
                </c:pt>
                <c:pt idx="8">
                  <c:v>37.359673314639217</c:v>
                </c:pt>
                <c:pt idx="9">
                  <c:v>23.214434955771178</c:v>
                </c:pt>
                <c:pt idx="10">
                  <c:v>14.762535511647789</c:v>
                </c:pt>
                <c:pt idx="11">
                  <c:v>10.559172821495666</c:v>
                </c:pt>
                <c:pt idx="12">
                  <c:v>8.7076916365477075</c:v>
                </c:pt>
                <c:pt idx="13">
                  <c:v>6.2657380736974275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4808"/>
        <c:axId val="170035200"/>
      </c:scatterChart>
      <c:valAx>
        <c:axId val="170034808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70035200"/>
        <c:crossesAt val="7.5000000000000011E-2"/>
        <c:crossBetween val="midCat"/>
      </c:valAx>
      <c:valAx>
        <c:axId val="170035200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034808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FISICO'!$O$24:$O$38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FISICO'!$P$24:$P$38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FISICO'!$O$24:$O$38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FISICO'!$Q$24:$Q$38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FISICO'!$O$25:$O$38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FISICO'!$F$26:$F$39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99.646814460536859</c:v>
                </c:pt>
                <c:pt idx="6">
                  <c:v>80.227717570710553</c:v>
                </c:pt>
                <c:pt idx="7">
                  <c:v>68.200780629019334</c:v>
                </c:pt>
                <c:pt idx="8">
                  <c:v>37.359673314639217</c:v>
                </c:pt>
                <c:pt idx="9">
                  <c:v>23.214434955771178</c:v>
                </c:pt>
                <c:pt idx="10">
                  <c:v>14.762535511647789</c:v>
                </c:pt>
                <c:pt idx="11">
                  <c:v>10.559172821495666</c:v>
                </c:pt>
                <c:pt idx="12">
                  <c:v>8.7076916365477075</c:v>
                </c:pt>
                <c:pt idx="13">
                  <c:v>6.2657380736974275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0840"/>
        <c:axId val="172261232"/>
      </c:scatterChart>
      <c:valAx>
        <c:axId val="172260840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72261232"/>
        <c:crossesAt val="7.5000000000000011E-2"/>
        <c:crossBetween val="midCat"/>
      </c:valAx>
      <c:valAx>
        <c:axId val="172261232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2260840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82515217512706"/>
          <c:y val="3.8450284623512972E-2"/>
          <c:w val="0.77039481766906814"/>
          <c:h val="0.78821065548624591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3300"/>
              </a:solidFill>
            </a:ln>
          </c:spPr>
          <c:marker>
            <c:symbol val="none"/>
          </c:marker>
          <c:xVal>
            <c:numRef>
              <c:f>VISCOSIDAD!$J$14:$J$21</c:f>
              <c:numCache>
                <c:formatCode>General</c:formatCode>
                <c:ptCount val="8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110</c:v>
                </c:pt>
                <c:pt idx="7">
                  <c:v>100</c:v>
                </c:pt>
              </c:numCache>
            </c:numRef>
          </c:xVal>
          <c:yVal>
            <c:numRef>
              <c:f>VISCOSIDAD!$K$14:$K$21</c:f>
              <c:numCache>
                <c:formatCode>General</c:formatCode>
                <c:ptCount val="8"/>
                <c:pt idx="0">
                  <c:v>50</c:v>
                </c:pt>
                <c:pt idx="1">
                  <c:v>75</c:v>
                </c:pt>
                <c:pt idx="2">
                  <c:v>108</c:v>
                </c:pt>
                <c:pt idx="3">
                  <c:v>145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2016"/>
        <c:axId val="172262408"/>
      </c:scatterChart>
      <c:valAx>
        <c:axId val="172262016"/>
        <c:scaling>
          <c:orientation val="minMax"/>
          <c:max val="170"/>
          <c:min val="100"/>
        </c:scaling>
        <c:delete val="0"/>
        <c:axPos val="b"/>
        <c:majorGridlines>
          <c:spPr>
            <a:ln w="15875">
              <a:solidFill>
                <a:schemeClr val="tx1"/>
              </a:solidFill>
            </a:ln>
          </c:spPr>
        </c:majorGridlines>
        <c:minorGridlines/>
        <c:numFmt formatCode="General" sourceLinked="1"/>
        <c:majorTickMark val="out"/>
        <c:minorTickMark val="cross"/>
        <c:tickLblPos val="low"/>
        <c:crossAx val="172262408"/>
        <c:crosses val="autoZero"/>
        <c:crossBetween val="midCat"/>
        <c:majorUnit val="10"/>
        <c:minorUnit val="10"/>
      </c:valAx>
      <c:valAx>
        <c:axId val="172262408"/>
        <c:scaling>
          <c:orientation val="minMax"/>
          <c:max val="300"/>
          <c:min val="0"/>
        </c:scaling>
        <c:delete val="0"/>
        <c:axPos val="l"/>
        <c:majorGridlines>
          <c:spPr>
            <a:ln w="15875"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VISCOSIDAD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72262016"/>
        <c:crosses val="autoZero"/>
        <c:crossBetween val="midCat"/>
        <c:majorUnit val="100"/>
        <c:minorUnit val="100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800"/>
      </a:pPr>
      <a:endParaRPr lang="es-MX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48803700849832"/>
          <c:y val="7.1298388454728426E-2"/>
          <c:w val="0.69388002948172467"/>
          <c:h val="0.8691856271370106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3300"/>
              </a:solidFill>
            </a:ln>
          </c:spPr>
          <c:marker>
            <c:symbol val="circle"/>
            <c:size val="4"/>
            <c:spPr>
              <a:solidFill>
                <a:srgbClr val="FF3300"/>
              </a:solidFill>
              <a:ln>
                <a:solidFill>
                  <a:srgbClr val="FF33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('CALCULO MARSHALL'!$C$10,'CALCULO MARSHALL'!$C$14,'CALCULO MARSHALL'!$C$18,'CALCULO MARSHALL'!$C$22,'CALCULO MARSHALL'!$C$26,'CALCULO MARSHALL'!$C$30)</c:f>
              <c:numCache>
                <c:formatCode>0.0</c:formatCode>
                <c:ptCount val="6"/>
                <c:pt idx="0">
                  <c:v>3.3</c:v>
                </c:pt>
                <c:pt idx="1">
                  <c:v>3.8</c:v>
                </c:pt>
                <c:pt idx="2">
                  <c:v>4.3</c:v>
                </c:pt>
                <c:pt idx="3">
                  <c:v>4.8</c:v>
                </c:pt>
                <c:pt idx="4">
                  <c:v>5.3</c:v>
                </c:pt>
                <c:pt idx="5">
                  <c:v>5.8</c:v>
                </c:pt>
              </c:numCache>
            </c:numRef>
          </c:xVal>
          <c:yVal>
            <c:numRef>
              <c:f>('CALCULO MARSHALL'!$Q$13,'CALCULO MARSHALL'!$Q$17,'CALCULO MARSHALL'!$Q$21,'CALCULO MARSHALL'!$Q$25,'CALCULO MARSHALL'!$Q$29,'CALCULO MARSHALL'!$Q$33)</c:f>
              <c:numCache>
                <c:formatCode>0.0</c:formatCode>
                <c:ptCount val="6"/>
                <c:pt idx="0">
                  <c:v>8.4533183038430675</c:v>
                </c:pt>
                <c:pt idx="1">
                  <c:v>7.0940426902803226</c:v>
                </c:pt>
                <c:pt idx="2">
                  <c:v>5.3119369560660674</c:v>
                </c:pt>
                <c:pt idx="3">
                  <c:v>3.4929658216538022</c:v>
                </c:pt>
                <c:pt idx="4">
                  <c:v>2.6412176793395523</c:v>
                </c:pt>
                <c:pt idx="5">
                  <c:v>1.7445351386224104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3192"/>
        <c:axId val="172263584"/>
      </c:scatterChart>
      <c:valAx>
        <c:axId val="172263192"/>
        <c:scaling>
          <c:orientation val="minMax"/>
          <c:max val="6.3"/>
          <c:min val="2.8"/>
        </c:scaling>
        <c:delete val="0"/>
        <c:axPos val="b"/>
        <c:majorGridlines/>
        <c:minorGridlines/>
        <c:numFmt formatCode="0.0" sourceLinked="1"/>
        <c:majorTickMark val="out"/>
        <c:minorTickMark val="cross"/>
        <c:tickLblPos val="high"/>
        <c:txPr>
          <a:bodyPr rot="-5400000" vert="horz"/>
          <a:lstStyle/>
          <a:p>
            <a:pPr>
              <a:defRPr lang="es-ES_tradnl"/>
            </a:pPr>
            <a:endParaRPr lang="es-MX"/>
          </a:p>
        </c:txPr>
        <c:crossAx val="172263584"/>
        <c:crosses val="autoZero"/>
        <c:crossBetween val="midCat"/>
        <c:majorUnit val="0.5"/>
        <c:minorUnit val="0.1"/>
      </c:valAx>
      <c:valAx>
        <c:axId val="172263584"/>
        <c:scaling>
          <c:orientation val="minMax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es-ES_tradnl"/>
                </a:pPr>
                <a:r>
                  <a:rPr lang="es-ES_tradnl"/>
                  <a:t>% DE</a:t>
                </a:r>
                <a:r>
                  <a:rPr lang="es-ES_tradnl" baseline="0"/>
                  <a:t> VACIOS</a:t>
                </a:r>
                <a:endParaRPr lang="es-ES_tradnl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MX"/>
          </a:p>
        </c:txPr>
        <c:crossAx val="172263192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3300"/>
              </a:solidFill>
            </a:ln>
          </c:spPr>
          <c:marker>
            <c:symbol val="circle"/>
            <c:size val="5"/>
            <c:spPr>
              <a:solidFill>
                <a:srgbClr val="FF3300"/>
              </a:solidFill>
              <a:ln>
                <a:solidFill>
                  <a:srgbClr val="FF33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('CALCULO MARSHALL'!$C$10,'CALCULO MARSHALL'!$C$14,'CALCULO MARSHALL'!$C$18,'CALCULO MARSHALL'!$C$22,'CALCULO MARSHALL'!$C$26,'CALCULO MARSHALL'!$C$30)</c:f>
              <c:numCache>
                <c:formatCode>0.0</c:formatCode>
                <c:ptCount val="6"/>
                <c:pt idx="0">
                  <c:v>3.3</c:v>
                </c:pt>
                <c:pt idx="1">
                  <c:v>3.8</c:v>
                </c:pt>
                <c:pt idx="2">
                  <c:v>4.3</c:v>
                </c:pt>
                <c:pt idx="3">
                  <c:v>4.8</c:v>
                </c:pt>
                <c:pt idx="4">
                  <c:v>5.3</c:v>
                </c:pt>
                <c:pt idx="5">
                  <c:v>5.8</c:v>
                </c:pt>
              </c:numCache>
            </c:numRef>
          </c:xVal>
          <c:yVal>
            <c:numRef>
              <c:f>('CALCULO MARSHALL'!$R$13,'CALCULO MARSHALL'!$R$17,'CALCULO MARSHALL'!$R$21,'CALCULO MARSHALL'!$R$25,'CALCULO MARSHALL'!$R$29,'CALCULO MARSHALL'!$R$33)</c:f>
              <c:numCache>
                <c:formatCode>0.00</c:formatCode>
                <c:ptCount val="6"/>
                <c:pt idx="0">
                  <c:v>15.585219841845728</c:v>
                </c:pt>
                <c:pt idx="1">
                  <c:v>15.331244013028362</c:v>
                </c:pt>
                <c:pt idx="2">
                  <c:v>14.702227903445149</c:v>
                </c:pt>
                <c:pt idx="3">
                  <c:v>14.05472255718899</c:v>
                </c:pt>
                <c:pt idx="4">
                  <c:v>14.273474846331638</c:v>
                </c:pt>
                <c:pt idx="5">
                  <c:v>14.448226032955924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6936"/>
        <c:axId val="173097328"/>
      </c:scatterChart>
      <c:valAx>
        <c:axId val="173096936"/>
        <c:scaling>
          <c:orientation val="minMax"/>
          <c:max val="6.3"/>
          <c:min val="2.8"/>
        </c:scaling>
        <c:delete val="0"/>
        <c:axPos val="b"/>
        <c:majorGridlines/>
        <c:minorGridlines/>
        <c:numFmt formatCode="0.0" sourceLinked="1"/>
        <c:majorTickMark val="out"/>
        <c:minorTickMark val="cross"/>
        <c:tickLblPos val="high"/>
        <c:txPr>
          <a:bodyPr rot="-5400000" vert="horz"/>
          <a:lstStyle/>
          <a:p>
            <a:pPr>
              <a:defRPr lang="es-ES_tradnl"/>
            </a:pPr>
            <a:endParaRPr lang="es-MX"/>
          </a:p>
        </c:txPr>
        <c:crossAx val="173097328"/>
        <c:crosses val="autoZero"/>
        <c:crossBetween val="midCat"/>
        <c:majorUnit val="0.5"/>
        <c:minorUnit val="0.1"/>
      </c:valAx>
      <c:valAx>
        <c:axId val="173097328"/>
        <c:scaling>
          <c:orientation val="minMax"/>
          <c:max val="20"/>
          <c:min val="1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es-ES_tradnl"/>
                </a:pPr>
                <a:r>
                  <a:rPr lang="es-ES_tradnl"/>
                  <a:t>% DE V.A.M.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MX"/>
          </a:p>
        </c:txPr>
        <c:crossAx val="173096936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3300"/>
              </a:solidFill>
            </a:ln>
          </c:spPr>
          <c:marker>
            <c:symbol val="circle"/>
            <c:size val="5"/>
            <c:spPr>
              <a:solidFill>
                <a:srgbClr val="FF3300"/>
              </a:solidFill>
              <a:ln>
                <a:solidFill>
                  <a:srgbClr val="FF33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('CALCULO MARSHALL'!$C$10,'CALCULO MARSHALL'!$C$14,'CALCULO MARSHALL'!$C$18,'CALCULO MARSHALL'!$C$22,'CALCULO MARSHALL'!$C$26,'CALCULO MARSHALL'!$C$30)</c:f>
              <c:numCache>
                <c:formatCode>0.0</c:formatCode>
                <c:ptCount val="6"/>
                <c:pt idx="0">
                  <c:v>3.3</c:v>
                </c:pt>
                <c:pt idx="1">
                  <c:v>3.8</c:v>
                </c:pt>
                <c:pt idx="2">
                  <c:v>4.3</c:v>
                </c:pt>
                <c:pt idx="3">
                  <c:v>4.8</c:v>
                </c:pt>
                <c:pt idx="4">
                  <c:v>5.3</c:v>
                </c:pt>
                <c:pt idx="5">
                  <c:v>5.8</c:v>
                </c:pt>
              </c:numCache>
            </c:numRef>
          </c:xVal>
          <c:yVal>
            <c:numRef>
              <c:f>('CALCULO MARSHALL'!$X$13,'CALCULO MARSHALL'!$X$17,'CALCULO MARSHALL'!$X$21,'CALCULO MARSHALL'!$X$25,'CALCULO MARSHALL'!$X$29,'CALCULO MARSHALL'!$X$33,'CALCULO MARSHALL'!$X$13,'CALCULO MARSHALL'!$X$17,'CALCULO MARSHALL'!$X$21,'CALCULO MARSHALL'!$X$25,'CALCULO MARSHALL'!$X$29,'CALCULO MARSHALL'!$X$33)</c:f>
              <c:numCache>
                <c:formatCode>0</c:formatCode>
                <c:ptCount val="12"/>
                <c:pt idx="0">
                  <c:v>1330</c:v>
                </c:pt>
                <c:pt idx="1">
                  <c:v>1422.72</c:v>
                </c:pt>
                <c:pt idx="2">
                  <c:v>1569.2479999999998</c:v>
                </c:pt>
                <c:pt idx="3">
                  <c:v>1678.7703333333332</c:v>
                </c:pt>
                <c:pt idx="4">
                  <c:v>1616.4313333333332</c:v>
                </c:pt>
                <c:pt idx="5">
                  <c:v>1472.0249999999999</c:v>
                </c:pt>
                <c:pt idx="6">
                  <c:v>1330</c:v>
                </c:pt>
                <c:pt idx="7">
                  <c:v>1422.72</c:v>
                </c:pt>
                <c:pt idx="8">
                  <c:v>1569.2479999999998</c:v>
                </c:pt>
                <c:pt idx="9">
                  <c:v>1678.7703333333332</c:v>
                </c:pt>
                <c:pt idx="10">
                  <c:v>1616.4313333333332</c:v>
                </c:pt>
                <c:pt idx="11">
                  <c:v>1472.0249999999999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8112"/>
        <c:axId val="173098504"/>
      </c:scatterChart>
      <c:valAx>
        <c:axId val="173098112"/>
        <c:scaling>
          <c:orientation val="minMax"/>
          <c:max val="6.3"/>
          <c:min val="2.8"/>
        </c:scaling>
        <c:delete val="0"/>
        <c:axPos val="b"/>
        <c:majorGridlines/>
        <c:minorGridlines/>
        <c:numFmt formatCode="0.0" sourceLinked="1"/>
        <c:majorTickMark val="out"/>
        <c:minorTickMark val="cross"/>
        <c:tickLblPos val="high"/>
        <c:txPr>
          <a:bodyPr rot="-5400000" vert="horz"/>
          <a:lstStyle/>
          <a:p>
            <a:pPr>
              <a:defRPr lang="es-ES_tradnl"/>
            </a:pPr>
            <a:endParaRPr lang="es-MX"/>
          </a:p>
        </c:txPr>
        <c:crossAx val="173098504"/>
        <c:crosses val="autoZero"/>
        <c:crossBetween val="midCat"/>
        <c:majorUnit val="0.5"/>
        <c:minorUnit val="0.1"/>
      </c:valAx>
      <c:valAx>
        <c:axId val="173098504"/>
        <c:scaling>
          <c:orientation val="minMax"/>
          <c:max val="1800"/>
          <c:min val="1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es-ES_tradnl"/>
                </a:pPr>
                <a:r>
                  <a:rPr lang="es-ES_tradnl"/>
                  <a:t>ESTABILIDAD (kg)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MX"/>
          </a:p>
        </c:txPr>
        <c:crossAx val="173098112"/>
        <c:crosses val="autoZero"/>
        <c:crossBetween val="midCat"/>
        <c:majorUnit val="50"/>
        <c:minorUnit val="50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cmpd="sng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('CALCULO MARSHALL'!$C$10,'CALCULO MARSHALL'!$C$14,'CALCULO MARSHALL'!$C$18,'CALCULO MARSHALL'!$C$22,'CALCULO MARSHALL'!$C$26,'CALCULO MARSHALL'!$C$30)</c:f>
              <c:numCache>
                <c:formatCode>0.0</c:formatCode>
                <c:ptCount val="6"/>
                <c:pt idx="0">
                  <c:v>3.3</c:v>
                </c:pt>
                <c:pt idx="1">
                  <c:v>3.8</c:v>
                </c:pt>
                <c:pt idx="2">
                  <c:v>4.3</c:v>
                </c:pt>
                <c:pt idx="3">
                  <c:v>4.8</c:v>
                </c:pt>
                <c:pt idx="4">
                  <c:v>5.3</c:v>
                </c:pt>
                <c:pt idx="5">
                  <c:v>5.8</c:v>
                </c:pt>
              </c:numCache>
            </c:numRef>
          </c:xVal>
          <c:yVal>
            <c:numRef>
              <c:f>('CALCULO MARSHALL'!$M$13,'CALCULO MARSHALL'!$M$17,'CALCULO MARSHALL'!$M$21,'CALCULO MARSHALL'!$M$25,'CALCULO MARSHALL'!$M$29,'CALCULO MARSHALL'!$M$33)</c:f>
              <c:numCache>
                <c:formatCode>0</c:formatCode>
                <c:ptCount val="6"/>
                <c:pt idx="0">
                  <c:v>2299.4763386119553</c:v>
                </c:pt>
                <c:pt idx="1">
                  <c:v>2317.5582690007468</c:v>
                </c:pt>
                <c:pt idx="2">
                  <c:v>2346.022246944156</c:v>
                </c:pt>
                <c:pt idx="3">
                  <c:v>2375.1630605429386</c:v>
                </c:pt>
                <c:pt idx="4">
                  <c:v>2380.4207171222529</c:v>
                </c:pt>
                <c:pt idx="5">
                  <c:v>2386.8482957225879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9288"/>
        <c:axId val="173099680"/>
      </c:scatterChart>
      <c:valAx>
        <c:axId val="173099288"/>
        <c:scaling>
          <c:orientation val="minMax"/>
          <c:max val="6.3"/>
          <c:min val="2.8"/>
        </c:scaling>
        <c:delete val="0"/>
        <c:axPos val="t"/>
        <c:majorGridlines/>
        <c:minorGridlines/>
        <c:numFmt formatCode="0.0" sourceLinked="1"/>
        <c:majorTickMark val="out"/>
        <c:minorTickMark val="in"/>
        <c:tickLblPos val="high"/>
        <c:txPr>
          <a:bodyPr rot="-5400000" vert="horz"/>
          <a:lstStyle/>
          <a:p>
            <a:pPr>
              <a:defRPr lang="es-ES_tradnl"/>
            </a:pPr>
            <a:endParaRPr lang="es-MX"/>
          </a:p>
        </c:txPr>
        <c:crossAx val="173099680"/>
        <c:crosses val="max"/>
        <c:crossBetween val="midCat"/>
        <c:majorUnit val="0.5"/>
        <c:minorUnit val="0.1"/>
      </c:valAx>
      <c:valAx>
        <c:axId val="173099680"/>
        <c:scaling>
          <c:orientation val="minMax"/>
          <c:max val="2400"/>
          <c:min val="228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es-ES_tradnl"/>
                </a:pPr>
                <a:r>
                  <a:rPr lang="es-ES_tradnl"/>
                  <a:t>PESO</a:t>
                </a:r>
                <a:r>
                  <a:rPr lang="es-ES_tradnl" baseline="0"/>
                  <a:t> ESPECIFICO (kg/m3)</a:t>
                </a:r>
                <a:endParaRPr lang="es-ES_tradnl"/>
              </a:p>
            </c:rich>
          </c:tx>
          <c:layout/>
          <c:overlay val="0"/>
        </c:title>
        <c:numFmt formatCode="0" sourceLinked="1"/>
        <c:majorTickMark val="out"/>
        <c:minorTickMark val="out"/>
        <c:tickLblPos val="nextTo"/>
        <c:txPr>
          <a:bodyPr/>
          <a:lstStyle/>
          <a:p>
            <a:pPr>
              <a:defRPr lang="es-ES_tradnl"/>
            </a:pPr>
            <a:endParaRPr lang="es-MX"/>
          </a:p>
        </c:txPr>
        <c:crossAx val="173099288"/>
        <c:crosses val="autoZero"/>
        <c:crossBetween val="midCat"/>
        <c:majorUnit val="10"/>
        <c:minorUnit val="10"/>
      </c:valAx>
      <c:spPr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48803700849832"/>
          <c:y val="7.1298388454728426E-2"/>
          <c:w val="0.69388002948172467"/>
          <c:h val="0.8691856271370106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3300"/>
              </a:solidFill>
            </a:ln>
          </c:spPr>
          <c:marker>
            <c:symbol val="circle"/>
            <c:size val="4"/>
            <c:spPr>
              <a:solidFill>
                <a:srgbClr val="FF3300"/>
              </a:solidFill>
              <a:ln>
                <a:solidFill>
                  <a:srgbClr val="FF33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('CALCULO MARSHALL'!$C$10,'CALCULO MARSHALL'!$C$14,'CALCULO MARSHALL'!$C$18,'CALCULO MARSHALL'!$C$22,'CALCULO MARSHALL'!$C$26,'CALCULO MARSHALL'!$C$30)</c:f>
              <c:numCache>
                <c:formatCode>0.0</c:formatCode>
                <c:ptCount val="6"/>
                <c:pt idx="0">
                  <c:v>3.3</c:v>
                </c:pt>
                <c:pt idx="1">
                  <c:v>3.8</c:v>
                </c:pt>
                <c:pt idx="2">
                  <c:v>4.3</c:v>
                </c:pt>
                <c:pt idx="3">
                  <c:v>4.8</c:v>
                </c:pt>
                <c:pt idx="4">
                  <c:v>5.3</c:v>
                </c:pt>
                <c:pt idx="5">
                  <c:v>5.8</c:v>
                </c:pt>
              </c:numCache>
            </c:numRef>
          </c:xVal>
          <c:yVal>
            <c:numRef>
              <c:f>('CALCULO MARSHALL'!$AB$13,'CALCULO MARSHALL'!$AB$17,'CALCULO MARSHALL'!$AB$21,'CALCULO MARSHALL'!$AB$25,'CALCULO MARSHALL'!$AB$29,'CALCULO MARSHALL'!$AB$33)</c:f>
              <c:numCache>
                <c:formatCode>0.0</c:formatCode>
                <c:ptCount val="6"/>
                <c:pt idx="0">
                  <c:v>2.4129999999999998</c:v>
                </c:pt>
                <c:pt idx="1">
                  <c:v>2.7516666666666665</c:v>
                </c:pt>
                <c:pt idx="2">
                  <c:v>3.5136666666666669</c:v>
                </c:pt>
                <c:pt idx="3">
                  <c:v>3.5559999999999996</c:v>
                </c:pt>
                <c:pt idx="4">
                  <c:v>3.81</c:v>
                </c:pt>
                <c:pt idx="5">
                  <c:v>4.1909999999999998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0464"/>
        <c:axId val="173294248"/>
      </c:scatterChart>
      <c:valAx>
        <c:axId val="173100464"/>
        <c:scaling>
          <c:orientation val="minMax"/>
          <c:max val="6.3"/>
          <c:min val="2.8"/>
        </c:scaling>
        <c:delete val="0"/>
        <c:axPos val="b"/>
        <c:majorGridlines/>
        <c:minorGridlines/>
        <c:numFmt formatCode="0.0" sourceLinked="1"/>
        <c:majorTickMark val="out"/>
        <c:minorTickMark val="cross"/>
        <c:tickLblPos val="high"/>
        <c:txPr>
          <a:bodyPr rot="-5400000" vert="horz"/>
          <a:lstStyle/>
          <a:p>
            <a:pPr>
              <a:defRPr lang="es-ES_tradnl"/>
            </a:pPr>
            <a:endParaRPr lang="es-MX"/>
          </a:p>
        </c:txPr>
        <c:crossAx val="173294248"/>
        <c:crosses val="autoZero"/>
        <c:crossBetween val="midCat"/>
        <c:majorUnit val="0.5"/>
        <c:minorUnit val="0.1"/>
      </c:valAx>
      <c:valAx>
        <c:axId val="173294248"/>
        <c:scaling>
          <c:orientation val="minMax"/>
          <c:max val="7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lang="es-ES_tradnl"/>
                </a:pPr>
                <a:r>
                  <a:rPr lang="es-ES_tradnl"/>
                  <a:t>FLUJO</a:t>
                </a:r>
                <a:r>
                  <a:rPr lang="es-ES_tradnl" baseline="0"/>
                  <a:t> (MM)</a:t>
                </a:r>
                <a:endParaRPr lang="es-ES_tradnl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es-ES_tradnl"/>
            </a:pPr>
            <a:endParaRPr lang="es-MX"/>
          </a:p>
        </c:txPr>
        <c:crossAx val="173100464"/>
        <c:crosses val="autoZero"/>
        <c:crossBetween val="midCat"/>
        <c:majorUnit val="1"/>
        <c:minorUnit val="0.2"/>
      </c:valAx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MEZCLA COMPROBACION'!$P$31:$P$42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6.3</c:v>
                </c:pt>
                <c:pt idx="5">
                  <c:v>4.75</c:v>
                </c:pt>
                <c:pt idx="6">
                  <c:v>2</c:v>
                </c:pt>
                <c:pt idx="7">
                  <c:v>0.85</c:v>
                </c:pt>
                <c:pt idx="8">
                  <c:v>0.42499999999999999</c:v>
                </c:pt>
                <c:pt idx="9">
                  <c:v>0.25</c:v>
                </c:pt>
                <c:pt idx="10">
                  <c:v>0.15</c:v>
                </c:pt>
                <c:pt idx="11">
                  <c:v>7.4999999999999997E-2</c:v>
                </c:pt>
              </c:numCache>
            </c:numRef>
          </c:xVal>
          <c:yVal>
            <c:numRef>
              <c:f>'INFORME MEZCLA COMPROBACION'!$Q$31:$Q$42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70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MEZCLA COMPROBACION'!$P$32:$P$42</c:f>
              <c:numCache>
                <c:formatCode>General</c:formatCode>
                <c:ptCount val="11"/>
                <c:pt idx="0">
                  <c:v>19</c:v>
                </c:pt>
                <c:pt idx="1">
                  <c:v>12.5</c:v>
                </c:pt>
                <c:pt idx="2">
                  <c:v>9.5</c:v>
                </c:pt>
                <c:pt idx="3">
                  <c:v>6.3</c:v>
                </c:pt>
                <c:pt idx="4">
                  <c:v>4.75</c:v>
                </c:pt>
                <c:pt idx="5">
                  <c:v>2</c:v>
                </c:pt>
                <c:pt idx="6">
                  <c:v>0.85</c:v>
                </c:pt>
                <c:pt idx="7">
                  <c:v>0.42499999999999999</c:v>
                </c:pt>
                <c:pt idx="8">
                  <c:v>0.25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'INFORME MEZCLA COMPROBACION'!$R$32:$R$42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81</c:v>
                </c:pt>
                <c:pt idx="4">
                  <c:v>69</c:v>
                </c:pt>
                <c:pt idx="5">
                  <c:v>42</c:v>
                </c:pt>
                <c:pt idx="6">
                  <c:v>27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MEZCLA COMPROBACION'!$P$31:$P$42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6.3</c:v>
                </c:pt>
                <c:pt idx="5">
                  <c:v>4.75</c:v>
                </c:pt>
                <c:pt idx="6">
                  <c:v>2</c:v>
                </c:pt>
                <c:pt idx="7">
                  <c:v>0.85</c:v>
                </c:pt>
                <c:pt idx="8">
                  <c:v>0.42499999999999999</c:v>
                </c:pt>
                <c:pt idx="9">
                  <c:v>0.25</c:v>
                </c:pt>
                <c:pt idx="10">
                  <c:v>0.15</c:v>
                </c:pt>
                <c:pt idx="11">
                  <c:v>7.4999999999999997E-2</c:v>
                </c:pt>
              </c:numCache>
            </c:numRef>
          </c:xVal>
          <c:yVal>
            <c:numRef>
              <c:f>'INFORME MEZCLA COMPROBACION'!$G$31:$G$42</c:f>
              <c:numCache>
                <c:formatCode>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99.646814460536859</c:v>
                </c:pt>
                <c:pt idx="4">
                  <c:v>80.227717570710553</c:v>
                </c:pt>
                <c:pt idx="5">
                  <c:v>68.200780629019334</c:v>
                </c:pt>
                <c:pt idx="6">
                  <c:v>37.359673314639217</c:v>
                </c:pt>
                <c:pt idx="7">
                  <c:v>23.214434955771178</c:v>
                </c:pt>
                <c:pt idx="8">
                  <c:v>14.762535511647789</c:v>
                </c:pt>
                <c:pt idx="9">
                  <c:v>10.559172821495666</c:v>
                </c:pt>
                <c:pt idx="10">
                  <c:v>8.7076916365477075</c:v>
                </c:pt>
                <c:pt idx="11">
                  <c:v>6.2657380736974275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5032"/>
        <c:axId val="173295424"/>
      </c:scatterChart>
      <c:valAx>
        <c:axId val="173295032"/>
        <c:scaling>
          <c:logBase val="10"/>
          <c:orientation val="minMax"/>
          <c:max val="24"/>
          <c:min val="7.5000000000000011E-2"/>
        </c:scaling>
        <c:delete val="0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73295424"/>
        <c:crossesAt val="7.5000000000000011E-2"/>
        <c:crossBetween val="midCat"/>
      </c:valAx>
      <c:valAx>
        <c:axId val="173295424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3295032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SELLO REOLITICO'!$O$24:$O$38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REOLITICO'!$P$24:$P$38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SELLO REOLITICO'!$O$24:$O$38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REOLITICO'!$Q$24:$Q$38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SELLO REOLITICO'!$O$25:$O$38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SELLO REOLITICO'!$F$26:$F$39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98.610455510974745</c:v>
                </c:pt>
                <c:pt idx="6">
                  <c:v>38.438163795138081</c:v>
                </c:pt>
                <c:pt idx="7">
                  <c:v>11.252065140429561</c:v>
                </c:pt>
                <c:pt idx="8">
                  <c:v>1.2685862638659557</c:v>
                </c:pt>
                <c:pt idx="9">
                  <c:v>0.94996459759264917</c:v>
                </c:pt>
                <c:pt idx="10">
                  <c:v>0.24191645031863462</c:v>
                </c:pt>
                <c:pt idx="11">
                  <c:v>0.24191645031863462</c:v>
                </c:pt>
                <c:pt idx="12">
                  <c:v>0.24191645031863462</c:v>
                </c:pt>
                <c:pt idx="13">
                  <c:v>0.24191645031863462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0736"/>
        <c:axId val="169568728"/>
      </c:scatterChart>
      <c:valAx>
        <c:axId val="170510736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69568728"/>
        <c:crossesAt val="7.5000000000000011E-2"/>
        <c:crossBetween val="midCat"/>
      </c:valAx>
      <c:valAx>
        <c:axId val="169568728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510736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POLVILLO ARENAS'!$O$24:$O$38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POLVILLO ARENAS'!$P$24:$P$38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POLVILLO ARENAS'!$O$24:$O$38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POLVILLO ARENAS'!$Q$24:$Q$38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POLVILLO ARENAS'!$O$25:$O$38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POLVILLO ARENAS'!$F$26:$F$39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72.457966373098486</c:v>
                </c:pt>
                <c:pt idx="9">
                  <c:v>44.815852682145731</c:v>
                </c:pt>
                <c:pt idx="10">
                  <c:v>29.163330664531642</c:v>
                </c:pt>
                <c:pt idx="11">
                  <c:v>20.756605284227398</c:v>
                </c:pt>
                <c:pt idx="12">
                  <c:v>17.05364291433148</c:v>
                </c:pt>
                <c:pt idx="13">
                  <c:v>12.16973578863092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0304"/>
        <c:axId val="170286936"/>
      </c:scatterChart>
      <c:valAx>
        <c:axId val="170510304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70286936"/>
        <c:crossesAt val="7.5000000000000011E-2"/>
        <c:crossBetween val="midCat"/>
      </c:valAx>
      <c:valAx>
        <c:axId val="170286936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510304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TEORICO'!$O$24:$O$38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TEORICO'!$P$24:$P$38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TEORICO'!$O$24:$O$38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TEORICO'!$Q$24:$Q$38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TEORICO'!$O$25:$O$38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TEORICO'!$F$26:$F$39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99.646814460536859</c:v>
                </c:pt>
                <c:pt idx="6">
                  <c:v>80.227717570710553</c:v>
                </c:pt>
                <c:pt idx="7">
                  <c:v>68.200780629019334</c:v>
                </c:pt>
                <c:pt idx="8">
                  <c:v>37.359673314639217</c:v>
                </c:pt>
                <c:pt idx="9">
                  <c:v>23.214434955771178</c:v>
                </c:pt>
                <c:pt idx="10">
                  <c:v>14.762535511647789</c:v>
                </c:pt>
                <c:pt idx="11">
                  <c:v>10.559172821495666</c:v>
                </c:pt>
                <c:pt idx="12">
                  <c:v>8.7076916365477075</c:v>
                </c:pt>
                <c:pt idx="13">
                  <c:v>6.2657380736974275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3536"/>
        <c:axId val="170551512"/>
      </c:scatterChart>
      <c:valAx>
        <c:axId val="170833536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70551512"/>
        <c:crossesAt val="7.5000000000000011E-2"/>
        <c:crossBetween val="midCat"/>
      </c:valAx>
      <c:valAx>
        <c:axId val="170551512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833536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TEORICO'!$O$24:$O$38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TEORICO'!$P$24:$P$38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TEORICO'!$O$24:$O$38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TEORICO'!$Q$24:$Q$38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dPt>
            <c:idx val="8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'INFORME PETREO TEORICO'!$O$25:$O$38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TEORICO'!$F$26:$F$39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99.646814460536859</c:v>
                </c:pt>
                <c:pt idx="6">
                  <c:v>80.227717570710553</c:v>
                </c:pt>
                <c:pt idx="7">
                  <c:v>68.200780629019334</c:v>
                </c:pt>
                <c:pt idx="8">
                  <c:v>37.359673314639217</c:v>
                </c:pt>
                <c:pt idx="9">
                  <c:v>23.214434955771178</c:v>
                </c:pt>
                <c:pt idx="10">
                  <c:v>14.762535511647789</c:v>
                </c:pt>
                <c:pt idx="11">
                  <c:v>10.559172821495666</c:v>
                </c:pt>
                <c:pt idx="12">
                  <c:v>8.7076916365477075</c:v>
                </c:pt>
                <c:pt idx="13">
                  <c:v>6.2657380736974275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0624"/>
        <c:axId val="145671016"/>
      </c:scatterChart>
      <c:valAx>
        <c:axId val="145670624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45671016"/>
        <c:crossesAt val="7.5000000000000011E-2"/>
        <c:crossBetween val="midCat"/>
      </c:valAx>
      <c:valAx>
        <c:axId val="145671016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45670624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FISICO'!$O$24:$O$38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FISICO'!$P$24:$P$38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FISICO'!$O$24:$O$38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FISICO'!$Q$24:$Q$38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'INFORME PETREO FISICO'!$O$25:$O$38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FISICO'!$F$26:$F$39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99.646814460536859</c:v>
                </c:pt>
                <c:pt idx="6">
                  <c:v>80.227717570710553</c:v>
                </c:pt>
                <c:pt idx="7">
                  <c:v>68.200780629019334</c:v>
                </c:pt>
                <c:pt idx="8">
                  <c:v>37.359673314639217</c:v>
                </c:pt>
                <c:pt idx="9">
                  <c:v>23.214434955771178</c:v>
                </c:pt>
                <c:pt idx="10">
                  <c:v>14.762535511647789</c:v>
                </c:pt>
                <c:pt idx="11">
                  <c:v>10.559172821495666</c:v>
                </c:pt>
                <c:pt idx="12">
                  <c:v>8.7076916365477075</c:v>
                </c:pt>
                <c:pt idx="13">
                  <c:v>6.2657380736974275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2064"/>
        <c:axId val="170032456"/>
      </c:scatterChart>
      <c:valAx>
        <c:axId val="170032064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70032456"/>
        <c:crossesAt val="7.5000000000000011E-2"/>
        <c:crossBetween val="midCat"/>
      </c:valAx>
      <c:valAx>
        <c:axId val="170032456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032064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SELLO CALIZO'!$O$24:$O$38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CALIZO'!$P$24:$P$38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SELLO CALIZO'!$O$24:$O$38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CALIZO'!$Q$24:$Q$38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SELLO CALIZO'!$O$25:$O$38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SELLO CALIZO'!$F$26:$F$39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99.749077861139682</c:v>
                </c:pt>
                <c:pt idx="6">
                  <c:v>75.133616038943103</c:v>
                </c:pt>
                <c:pt idx="7">
                  <c:v>53.167892003111419</c:v>
                </c:pt>
                <c:pt idx="8">
                  <c:v>2.923242917722618</c:v>
                </c:pt>
                <c:pt idx="9">
                  <c:v>2.0550523172659396</c:v>
                </c:pt>
                <c:pt idx="10">
                  <c:v>0.44162296439413562</c:v>
                </c:pt>
                <c:pt idx="11">
                  <c:v>0.44162296439413562</c:v>
                </c:pt>
                <c:pt idx="12">
                  <c:v>0.44162296439413562</c:v>
                </c:pt>
                <c:pt idx="13">
                  <c:v>0.44162296439413562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3240"/>
        <c:axId val="170033632"/>
      </c:scatterChart>
      <c:valAx>
        <c:axId val="170033240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70033632"/>
        <c:crossesAt val="7.5000000000000011E-2"/>
        <c:crossBetween val="midCat"/>
      </c:valAx>
      <c:valAx>
        <c:axId val="170033632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033240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SELLO REOLITICO'!$O$24:$O$38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REOLITICO'!$P$24:$P$38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SELLO REOLITICO'!$O$24:$O$38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SELLO REOLITICO'!$Q$24:$Q$38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SELLO REOLITICO'!$O$25:$O$38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SELLO REOLITICO'!$F$26:$F$39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98.610455510974745</c:v>
                </c:pt>
                <c:pt idx="6">
                  <c:v>38.438163795138081</c:v>
                </c:pt>
                <c:pt idx="7">
                  <c:v>11.252065140429561</c:v>
                </c:pt>
                <c:pt idx="8">
                  <c:v>1.2685862638659557</c:v>
                </c:pt>
                <c:pt idx="9">
                  <c:v>0.94996459759264917</c:v>
                </c:pt>
                <c:pt idx="10">
                  <c:v>0.24191645031863462</c:v>
                </c:pt>
                <c:pt idx="11">
                  <c:v>0.24191645031863462</c:v>
                </c:pt>
                <c:pt idx="12">
                  <c:v>0.24191645031863462</c:v>
                </c:pt>
                <c:pt idx="13">
                  <c:v>0.24191645031863462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0232"/>
        <c:axId val="145669840"/>
      </c:scatterChart>
      <c:valAx>
        <c:axId val="145670232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45669840"/>
        <c:crossesAt val="7.5000000000000011E-2"/>
        <c:crossBetween val="midCat"/>
      </c:valAx>
      <c:valAx>
        <c:axId val="145669840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45670232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'INFORME PETREO POLVILLO ARENAS'!$O$24:$O$38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POLVILLO ARENAS'!$P$24:$P$38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28</c:v>
                </c:pt>
                <c:pt idx="10">
                  <c:v>18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'INFORME PETREO POLVILLO ARENAS'!$O$24:$O$38</c:f>
              <c:numCache>
                <c:formatCode>0.000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'INFORME PETREO POLVILLO ARENAS'!$Q$24:$Q$38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7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'INFORME PETREO POLVILLO ARENAS'!$O$25:$O$38</c:f>
              <c:numCache>
                <c:formatCode>0.000</c:formatCode>
                <c:ptCount val="14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19</c:v>
                </c:pt>
                <c:pt idx="4">
                  <c:v>12.5</c:v>
                </c:pt>
                <c:pt idx="5">
                  <c:v>9.5</c:v>
                </c:pt>
                <c:pt idx="6">
                  <c:v>6.3</c:v>
                </c:pt>
                <c:pt idx="7">
                  <c:v>4.75</c:v>
                </c:pt>
                <c:pt idx="8">
                  <c:v>2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0.25</c:v>
                </c:pt>
                <c:pt idx="12">
                  <c:v>0.15</c:v>
                </c:pt>
                <c:pt idx="13">
                  <c:v>7.4999999999999997E-2</c:v>
                </c:pt>
              </c:numCache>
            </c:numRef>
          </c:xVal>
          <c:yVal>
            <c:numRef>
              <c:f>'INFORME PETREO POLVILLO ARENAS'!$F$26:$F$39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72.457966373098486</c:v>
                </c:pt>
                <c:pt idx="9">
                  <c:v>44.815852682145731</c:v>
                </c:pt>
                <c:pt idx="10">
                  <c:v>29.163330664531642</c:v>
                </c:pt>
                <c:pt idx="11">
                  <c:v>20.756605284227398</c:v>
                </c:pt>
                <c:pt idx="12">
                  <c:v>17.05364291433148</c:v>
                </c:pt>
                <c:pt idx="13">
                  <c:v>12.16973578863092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664"/>
        <c:axId val="145669056"/>
      </c:scatterChart>
      <c:valAx>
        <c:axId val="145668664"/>
        <c:scaling>
          <c:logBase val="10"/>
          <c:orientation val="minMax"/>
          <c:max val="24"/>
          <c:min val="7.5000000000000011E-2"/>
        </c:scaling>
        <c:delete val="1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0.000" sourceLinked="1"/>
        <c:majorTickMark val="out"/>
        <c:minorTickMark val="none"/>
        <c:tickLblPos val="nextTo"/>
        <c:crossAx val="145669056"/>
        <c:crossesAt val="7.5000000000000011E-2"/>
        <c:crossBetween val="midCat"/>
      </c:valAx>
      <c:valAx>
        <c:axId val="145669056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45668664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</xdr:colOff>
      <xdr:row>0</xdr:row>
      <xdr:rowOff>4</xdr:rowOff>
    </xdr:from>
    <xdr:to>
      <xdr:col>12</xdr:col>
      <xdr:colOff>0</xdr:colOff>
      <xdr:row>25</xdr:row>
      <xdr:rowOff>6930</xdr:rowOff>
    </xdr:to>
    <xdr:graphicFrame macro="">
      <xdr:nvGraphicFramePr>
        <xdr:cNvPr id="2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16</xdr:col>
      <xdr:colOff>632980</xdr:colOff>
      <xdr:row>26</xdr:row>
      <xdr:rowOff>9525</xdr:rowOff>
    </xdr:to>
    <xdr:graphicFrame macro="">
      <xdr:nvGraphicFramePr>
        <xdr:cNvPr id="3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537960" y="1036320"/>
          <a:ext cx="114300" cy="232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769620</xdr:colOff>
      <xdr:row>5</xdr:row>
      <xdr:rowOff>0</xdr:rowOff>
    </xdr:from>
    <xdr:to>
      <xdr:col>2</xdr:col>
      <xdr:colOff>132692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3649980" y="1036320"/>
          <a:ext cx="7620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5" name="Text Box 20"/>
        <xdr:cNvSpPr txBox="1">
          <a:spLocks noChangeArrowheads="1"/>
        </xdr:cNvSpPr>
      </xdr:nvSpPr>
      <xdr:spPr bwMode="auto">
        <a:xfrm>
          <a:off x="8595360" y="14958060"/>
          <a:ext cx="106679" cy="28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1</xdr:colOff>
      <xdr:row>20</xdr:row>
      <xdr:rowOff>259774</xdr:rowOff>
    </xdr:from>
    <xdr:to>
      <xdr:col>30</xdr:col>
      <xdr:colOff>1</xdr:colOff>
      <xdr:row>38</xdr:row>
      <xdr:rowOff>17318</xdr:rowOff>
    </xdr:to>
    <xdr:graphicFrame macro="">
      <xdr:nvGraphicFramePr>
        <xdr:cNvPr id="7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86591</xdr:colOff>
      <xdr:row>36</xdr:row>
      <xdr:rowOff>121230</xdr:rowOff>
    </xdr:from>
    <xdr:to>
      <xdr:col>29</xdr:col>
      <xdr:colOff>138546</xdr:colOff>
      <xdr:row>37</xdr:row>
      <xdr:rowOff>69275</xdr:rowOff>
    </xdr:to>
    <xdr:sp macro="" textlink="">
      <xdr:nvSpPr>
        <xdr:cNvPr id="9" name="8 CuadroTexto"/>
        <xdr:cNvSpPr txBox="1"/>
      </xdr:nvSpPr>
      <xdr:spPr>
        <a:xfrm>
          <a:off x="5974773" y="9871366"/>
          <a:ext cx="6061364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200            100</a:t>
          </a:r>
          <a:r>
            <a:rPr lang="es-ES_tradnl" sz="1200" b="1" baseline="0"/>
            <a:t>         60            40               20                     10                       4      1/4    3/8    1/2    3/4   1</a:t>
          </a:r>
          <a:endParaRPr lang="es-ES_tradnl" sz="1200" b="1"/>
        </a:p>
      </xdr:txBody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0" name="Text Box 20"/>
        <xdr:cNvSpPr txBox="1">
          <a:spLocks noChangeArrowheads="1"/>
        </xdr:cNvSpPr>
      </xdr:nvSpPr>
      <xdr:spPr bwMode="auto">
        <a:xfrm>
          <a:off x="7835265" y="1456372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296025" y="1314450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769620</xdr:colOff>
      <xdr:row>5</xdr:row>
      <xdr:rowOff>0</xdr:rowOff>
    </xdr:from>
    <xdr:to>
      <xdr:col>2</xdr:col>
      <xdr:colOff>132692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721995" y="1314450"/>
          <a:ext cx="134597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1</xdr:colOff>
      <xdr:row>20</xdr:row>
      <xdr:rowOff>259774</xdr:rowOff>
    </xdr:from>
    <xdr:to>
      <xdr:col>30</xdr:col>
      <xdr:colOff>1</xdr:colOff>
      <xdr:row>38</xdr:row>
      <xdr:rowOff>17318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86591</xdr:colOff>
      <xdr:row>36</xdr:row>
      <xdr:rowOff>121230</xdr:rowOff>
    </xdr:from>
    <xdr:to>
      <xdr:col>29</xdr:col>
      <xdr:colOff>138546</xdr:colOff>
      <xdr:row>37</xdr:row>
      <xdr:rowOff>69275</xdr:rowOff>
    </xdr:to>
    <xdr:sp macro="" textlink="">
      <xdr:nvSpPr>
        <xdr:cNvPr id="6" name="8 CuadroTexto"/>
        <xdr:cNvSpPr txBox="1"/>
      </xdr:nvSpPr>
      <xdr:spPr>
        <a:xfrm>
          <a:off x="5944466" y="9941505"/>
          <a:ext cx="6062230" cy="214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200            100</a:t>
          </a:r>
          <a:r>
            <a:rPr lang="es-ES_tradnl" sz="1200" b="1" baseline="0"/>
            <a:t>         60            40               20                     10                       4      1/4    3/8    1/2    3/4   1</a:t>
          </a:r>
          <a:endParaRPr lang="es-ES_tradnl" sz="1200" b="1"/>
        </a:p>
      </xdr:txBody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7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8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0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1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2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3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4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5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296025" y="1314450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769620</xdr:colOff>
      <xdr:row>5</xdr:row>
      <xdr:rowOff>0</xdr:rowOff>
    </xdr:from>
    <xdr:to>
      <xdr:col>2</xdr:col>
      <xdr:colOff>132692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721995" y="1314450"/>
          <a:ext cx="134597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1</xdr:colOff>
      <xdr:row>20</xdr:row>
      <xdr:rowOff>242455</xdr:rowOff>
    </xdr:from>
    <xdr:to>
      <xdr:col>30</xdr:col>
      <xdr:colOff>1</xdr:colOff>
      <xdr:row>38</xdr:row>
      <xdr:rowOff>-1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86591</xdr:colOff>
      <xdr:row>36</xdr:row>
      <xdr:rowOff>121230</xdr:rowOff>
    </xdr:from>
    <xdr:to>
      <xdr:col>29</xdr:col>
      <xdr:colOff>138546</xdr:colOff>
      <xdr:row>37</xdr:row>
      <xdr:rowOff>69275</xdr:rowOff>
    </xdr:to>
    <xdr:sp macro="" textlink="">
      <xdr:nvSpPr>
        <xdr:cNvPr id="6" name="8 CuadroTexto"/>
        <xdr:cNvSpPr txBox="1"/>
      </xdr:nvSpPr>
      <xdr:spPr>
        <a:xfrm>
          <a:off x="5944466" y="9941505"/>
          <a:ext cx="6062230" cy="214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200            100</a:t>
          </a:r>
          <a:r>
            <a:rPr lang="es-ES_tradnl" sz="1200" b="1" baseline="0"/>
            <a:t>         60            40               20                     10                       4      1/4    3/8    1/2    3/4   1</a:t>
          </a:r>
          <a:endParaRPr lang="es-ES_tradnl" sz="1200" b="1"/>
        </a:p>
      </xdr:txBody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7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8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0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1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2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3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4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5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296025" y="1314450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769620</xdr:colOff>
      <xdr:row>5</xdr:row>
      <xdr:rowOff>0</xdr:rowOff>
    </xdr:from>
    <xdr:to>
      <xdr:col>2</xdr:col>
      <xdr:colOff>132692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721995" y="1314450"/>
          <a:ext cx="134597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1</xdr:colOff>
      <xdr:row>20</xdr:row>
      <xdr:rowOff>259773</xdr:rowOff>
    </xdr:from>
    <xdr:to>
      <xdr:col>30</xdr:col>
      <xdr:colOff>1</xdr:colOff>
      <xdr:row>38</xdr:row>
      <xdr:rowOff>17317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86591</xdr:colOff>
      <xdr:row>36</xdr:row>
      <xdr:rowOff>121230</xdr:rowOff>
    </xdr:from>
    <xdr:to>
      <xdr:col>29</xdr:col>
      <xdr:colOff>138546</xdr:colOff>
      <xdr:row>37</xdr:row>
      <xdr:rowOff>69275</xdr:rowOff>
    </xdr:to>
    <xdr:sp macro="" textlink="">
      <xdr:nvSpPr>
        <xdr:cNvPr id="6" name="8 CuadroTexto"/>
        <xdr:cNvSpPr txBox="1"/>
      </xdr:nvSpPr>
      <xdr:spPr>
        <a:xfrm>
          <a:off x="5944466" y="9941505"/>
          <a:ext cx="6062230" cy="214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200            100</a:t>
          </a:r>
          <a:r>
            <a:rPr lang="es-ES_tradnl" sz="1200" b="1" baseline="0"/>
            <a:t>         60            40               20                     10                       4      1/4    3/8    1/2    3/4   1</a:t>
          </a:r>
          <a:endParaRPr lang="es-ES_tradnl" sz="1200" b="1"/>
        </a:p>
      </xdr:txBody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7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8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0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1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2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3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4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5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15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296025" y="1314450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769620</xdr:colOff>
      <xdr:row>5</xdr:row>
      <xdr:rowOff>0</xdr:rowOff>
    </xdr:from>
    <xdr:to>
      <xdr:col>2</xdr:col>
      <xdr:colOff>132692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721995" y="1314450"/>
          <a:ext cx="134597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13</xdr:col>
      <xdr:colOff>1</xdr:colOff>
      <xdr:row>20</xdr:row>
      <xdr:rowOff>242456</xdr:rowOff>
    </xdr:from>
    <xdr:to>
      <xdr:col>30</xdr:col>
      <xdr:colOff>1</xdr:colOff>
      <xdr:row>38</xdr:row>
      <xdr:rowOff>0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86591</xdr:colOff>
      <xdr:row>36</xdr:row>
      <xdr:rowOff>121230</xdr:rowOff>
    </xdr:from>
    <xdr:to>
      <xdr:col>29</xdr:col>
      <xdr:colOff>138546</xdr:colOff>
      <xdr:row>37</xdr:row>
      <xdr:rowOff>69275</xdr:rowOff>
    </xdr:to>
    <xdr:sp macro="" textlink="">
      <xdr:nvSpPr>
        <xdr:cNvPr id="6" name="8 CuadroTexto"/>
        <xdr:cNvSpPr txBox="1"/>
      </xdr:nvSpPr>
      <xdr:spPr>
        <a:xfrm>
          <a:off x="5944466" y="9941505"/>
          <a:ext cx="6062230" cy="2147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200            100</a:t>
          </a:r>
          <a:r>
            <a:rPr lang="es-ES_tradnl" sz="1200" b="1" baseline="0"/>
            <a:t>         60            40               20                     10                       4      1/4    3/8    1/2    3/4   1</a:t>
          </a:r>
          <a:endParaRPr lang="es-ES_tradnl" sz="1200" b="1"/>
        </a:p>
      </xdr:txBody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7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8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0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1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2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3" name="Text Box 20"/>
        <xdr:cNvSpPr txBox="1">
          <a:spLocks noChangeArrowheads="1"/>
        </xdr:cNvSpPr>
      </xdr:nvSpPr>
      <xdr:spPr bwMode="auto">
        <a:xfrm>
          <a:off x="7835265" y="15687675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4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472440</xdr:colOff>
      <xdr:row>63</xdr:row>
      <xdr:rowOff>38100</xdr:rowOff>
    </xdr:from>
    <xdr:to>
      <xdr:col>18</xdr:col>
      <xdr:colOff>117761</xdr:colOff>
      <xdr:row>63</xdr:row>
      <xdr:rowOff>49432</xdr:rowOff>
    </xdr:to>
    <xdr:sp macro="" textlink="">
      <xdr:nvSpPr>
        <xdr:cNvPr id="15" name="Text Box 20"/>
        <xdr:cNvSpPr txBox="1">
          <a:spLocks noChangeArrowheads="1"/>
        </xdr:cNvSpPr>
      </xdr:nvSpPr>
      <xdr:spPr bwMode="auto">
        <a:xfrm>
          <a:off x="7835265" y="160210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9</xdr:row>
      <xdr:rowOff>66675</xdr:rowOff>
    </xdr:from>
    <xdr:to>
      <xdr:col>7</xdr:col>
      <xdr:colOff>133350</xdr:colOff>
      <xdr:row>30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18</xdr:row>
      <xdr:rowOff>57150</xdr:rowOff>
    </xdr:from>
    <xdr:to>
      <xdr:col>6</xdr:col>
      <xdr:colOff>866775</xdr:colOff>
      <xdr:row>18</xdr:row>
      <xdr:rowOff>66676</xdr:rowOff>
    </xdr:to>
    <xdr:cxnSp macro="">
      <xdr:nvCxnSpPr>
        <xdr:cNvPr id="3" name="3 Conector recto"/>
        <xdr:cNvCxnSpPr/>
      </xdr:nvCxnSpPr>
      <xdr:spPr>
        <a:xfrm flipV="1">
          <a:off x="1304925" y="4095750"/>
          <a:ext cx="3962400" cy="952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19</xdr:row>
      <xdr:rowOff>38100</xdr:rowOff>
    </xdr:from>
    <xdr:to>
      <xdr:col>6</xdr:col>
      <xdr:colOff>895350</xdr:colOff>
      <xdr:row>19</xdr:row>
      <xdr:rowOff>47625</xdr:rowOff>
    </xdr:to>
    <xdr:cxnSp macro="">
      <xdr:nvCxnSpPr>
        <xdr:cNvPr id="4" name="6 Conector recto"/>
        <xdr:cNvCxnSpPr/>
      </xdr:nvCxnSpPr>
      <xdr:spPr>
        <a:xfrm flipV="1">
          <a:off x="1333500" y="4343400"/>
          <a:ext cx="3962400" cy="95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114300</xdr:rowOff>
    </xdr:from>
    <xdr:to>
      <xdr:col>6</xdr:col>
      <xdr:colOff>885825</xdr:colOff>
      <xdr:row>17</xdr:row>
      <xdr:rowOff>123825</xdr:rowOff>
    </xdr:to>
    <xdr:cxnSp macro="">
      <xdr:nvCxnSpPr>
        <xdr:cNvPr id="5" name="8 Conector recto"/>
        <xdr:cNvCxnSpPr/>
      </xdr:nvCxnSpPr>
      <xdr:spPr>
        <a:xfrm flipV="1">
          <a:off x="1323975" y="4038600"/>
          <a:ext cx="3962400" cy="95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21</xdr:row>
      <xdr:rowOff>161925</xdr:rowOff>
    </xdr:from>
    <xdr:to>
      <xdr:col>5</xdr:col>
      <xdr:colOff>390525</xdr:colOff>
      <xdr:row>24</xdr:row>
      <xdr:rowOff>95250</xdr:rowOff>
    </xdr:to>
    <xdr:sp macro="" textlink="">
      <xdr:nvSpPr>
        <xdr:cNvPr id="6" name="27 Rectángulo"/>
        <xdr:cNvSpPr/>
      </xdr:nvSpPr>
      <xdr:spPr>
        <a:xfrm>
          <a:off x="3257550" y="4848225"/>
          <a:ext cx="828675" cy="5048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MX" sz="800" b="0"/>
            <a:t>TEMP. COMPACT.</a:t>
          </a:r>
          <a:r>
            <a:rPr lang="es-MX" sz="800" b="0" baseline="0"/>
            <a:t> = 142 A 149 </a:t>
          </a:r>
          <a:r>
            <a:rPr lang="es-MX" sz="8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MX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endParaRPr lang="es-MX" sz="800">
            <a:effectLst/>
          </a:endParaRPr>
        </a:p>
      </xdr:txBody>
    </xdr:sp>
    <xdr:clientData/>
  </xdr:twoCellAnchor>
  <xdr:twoCellAnchor>
    <xdr:from>
      <xdr:col>1</xdr:col>
      <xdr:colOff>666749</xdr:colOff>
      <xdr:row>18</xdr:row>
      <xdr:rowOff>66675</xdr:rowOff>
    </xdr:from>
    <xdr:to>
      <xdr:col>3</xdr:col>
      <xdr:colOff>304800</xdr:colOff>
      <xdr:row>19</xdr:row>
      <xdr:rowOff>152400</xdr:rowOff>
    </xdr:to>
    <xdr:sp macro="" textlink="">
      <xdr:nvSpPr>
        <xdr:cNvPr id="7" name="25 Rectángulo"/>
        <xdr:cNvSpPr/>
      </xdr:nvSpPr>
      <xdr:spPr>
        <a:xfrm>
          <a:off x="1314449" y="4181475"/>
          <a:ext cx="1162051" cy="2762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900" b="0"/>
            <a:t>140 +/- 15 seg.</a:t>
          </a:r>
        </a:p>
      </xdr:txBody>
    </xdr:sp>
    <xdr:clientData/>
  </xdr:twoCellAnchor>
  <xdr:twoCellAnchor>
    <xdr:from>
      <xdr:col>1</xdr:col>
      <xdr:colOff>628650</xdr:colOff>
      <xdr:row>21</xdr:row>
      <xdr:rowOff>180975</xdr:rowOff>
    </xdr:from>
    <xdr:to>
      <xdr:col>3</xdr:col>
      <xdr:colOff>133351</xdr:colOff>
      <xdr:row>23</xdr:row>
      <xdr:rowOff>76200</xdr:rowOff>
    </xdr:to>
    <xdr:sp macro="" textlink="">
      <xdr:nvSpPr>
        <xdr:cNvPr id="8" name="28 Rectángulo"/>
        <xdr:cNvSpPr/>
      </xdr:nvSpPr>
      <xdr:spPr>
        <a:xfrm>
          <a:off x="1276350" y="4867275"/>
          <a:ext cx="1028701" cy="2762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 b="0"/>
            <a:t>85 +/- 15 seg.</a:t>
          </a:r>
        </a:p>
      </xdr:txBody>
    </xdr:sp>
    <xdr:clientData/>
  </xdr:twoCellAnchor>
  <xdr:twoCellAnchor>
    <xdr:from>
      <xdr:col>5</xdr:col>
      <xdr:colOff>9526</xdr:colOff>
      <xdr:row>19</xdr:row>
      <xdr:rowOff>57150</xdr:rowOff>
    </xdr:from>
    <xdr:to>
      <xdr:col>5</xdr:col>
      <xdr:colOff>19050</xdr:colOff>
      <xdr:row>26</xdr:row>
      <xdr:rowOff>123825</xdr:rowOff>
    </xdr:to>
    <xdr:cxnSp macro="">
      <xdr:nvCxnSpPr>
        <xdr:cNvPr id="9" name="15 Conector recto de flecha"/>
        <xdr:cNvCxnSpPr/>
      </xdr:nvCxnSpPr>
      <xdr:spPr>
        <a:xfrm flipH="1">
          <a:off x="3705226" y="4362450"/>
          <a:ext cx="9524" cy="14001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17</xdr:row>
      <xdr:rowOff>114300</xdr:rowOff>
    </xdr:from>
    <xdr:to>
      <xdr:col>4</xdr:col>
      <xdr:colOff>533401</xdr:colOff>
      <xdr:row>26</xdr:row>
      <xdr:rowOff>123825</xdr:rowOff>
    </xdr:to>
    <xdr:cxnSp macro="">
      <xdr:nvCxnSpPr>
        <xdr:cNvPr id="10" name="10 Conector recto de flecha"/>
        <xdr:cNvCxnSpPr/>
      </xdr:nvCxnSpPr>
      <xdr:spPr>
        <a:xfrm>
          <a:off x="3467100" y="4038600"/>
          <a:ext cx="1" cy="172402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95250</xdr:rowOff>
    </xdr:from>
    <xdr:to>
      <xdr:col>6</xdr:col>
      <xdr:colOff>762000</xdr:colOff>
      <xdr:row>25</xdr:row>
      <xdr:rowOff>180975</xdr:rowOff>
    </xdr:to>
    <xdr:sp macro="" textlink="">
      <xdr:nvSpPr>
        <xdr:cNvPr id="11" name="29 Rectángulo"/>
        <xdr:cNvSpPr/>
      </xdr:nvSpPr>
      <xdr:spPr>
        <a:xfrm>
          <a:off x="4400550" y="5086350"/>
          <a:ext cx="762000" cy="4667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MX" sz="800" b="0"/>
            <a:t>TEMP. MECLADO</a:t>
          </a:r>
          <a:r>
            <a:rPr lang="es-MX" sz="800" b="0" baseline="0"/>
            <a:t> = 157 A 163 </a:t>
          </a:r>
          <a:r>
            <a:rPr lang="es-MX" sz="8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MX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endParaRPr lang="es-MX" sz="800">
            <a:effectLst/>
          </a:endParaRPr>
        </a:p>
      </xdr:txBody>
    </xdr:sp>
    <xdr:clientData/>
  </xdr:twoCellAnchor>
  <xdr:twoCellAnchor>
    <xdr:from>
      <xdr:col>1</xdr:col>
      <xdr:colOff>676275</xdr:colOff>
      <xdr:row>21</xdr:row>
      <xdr:rowOff>161925</xdr:rowOff>
    </xdr:from>
    <xdr:to>
      <xdr:col>6</xdr:col>
      <xdr:colOff>885825</xdr:colOff>
      <xdr:row>21</xdr:row>
      <xdr:rowOff>171450</xdr:rowOff>
    </xdr:to>
    <xdr:cxnSp macro="">
      <xdr:nvCxnSpPr>
        <xdr:cNvPr id="12" name="7 Conector recto"/>
        <xdr:cNvCxnSpPr/>
      </xdr:nvCxnSpPr>
      <xdr:spPr>
        <a:xfrm flipV="1">
          <a:off x="1323975" y="4848225"/>
          <a:ext cx="3962400" cy="95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21</xdr:row>
      <xdr:rowOff>161925</xdr:rowOff>
    </xdr:from>
    <xdr:to>
      <xdr:col>6</xdr:col>
      <xdr:colOff>142876</xdr:colOff>
      <xdr:row>26</xdr:row>
      <xdr:rowOff>114300</xdr:rowOff>
    </xdr:to>
    <xdr:cxnSp macro="">
      <xdr:nvCxnSpPr>
        <xdr:cNvPr id="13" name="17 Conector recto de flecha"/>
        <xdr:cNvCxnSpPr/>
      </xdr:nvCxnSpPr>
      <xdr:spPr>
        <a:xfrm>
          <a:off x="4543425" y="4848225"/>
          <a:ext cx="1" cy="9048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20</xdr:row>
      <xdr:rowOff>85725</xdr:rowOff>
    </xdr:from>
    <xdr:to>
      <xdr:col>5</xdr:col>
      <xdr:colOff>400051</xdr:colOff>
      <xdr:row>26</xdr:row>
      <xdr:rowOff>114300</xdr:rowOff>
    </xdr:to>
    <xdr:cxnSp macro="">
      <xdr:nvCxnSpPr>
        <xdr:cNvPr id="14" name="16 Conector recto de flecha"/>
        <xdr:cNvCxnSpPr/>
      </xdr:nvCxnSpPr>
      <xdr:spPr>
        <a:xfrm>
          <a:off x="4095750" y="4581525"/>
          <a:ext cx="1" cy="11715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20</xdr:row>
      <xdr:rowOff>57150</xdr:rowOff>
    </xdr:from>
    <xdr:to>
      <xdr:col>6</xdr:col>
      <xdr:colOff>895350</xdr:colOff>
      <xdr:row>20</xdr:row>
      <xdr:rowOff>66675</xdr:rowOff>
    </xdr:to>
    <xdr:cxnSp macro="">
      <xdr:nvCxnSpPr>
        <xdr:cNvPr id="18" name="7 Conector recto"/>
        <xdr:cNvCxnSpPr/>
      </xdr:nvCxnSpPr>
      <xdr:spPr>
        <a:xfrm flipV="1">
          <a:off x="1333500" y="4552950"/>
          <a:ext cx="3962400" cy="95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0.413</cdr:x>
      <cdr:y>0.88371</cdr:y>
    </cdr:from>
    <cdr:to>
      <cdr:x>0.68069</cdr:x>
      <cdr:y>0.93486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2057400" y="4772025"/>
          <a:ext cx="1333500" cy="2762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MX" sz="1000" baseline="0"/>
            <a:t>TEMPERATURA </a:t>
          </a:r>
          <a:r>
            <a:rPr lang="es-MX" sz="1000" baseline="30000"/>
            <a:t>O</a:t>
          </a:r>
          <a:r>
            <a:rPr lang="es-MX" sz="1000"/>
            <a:t>C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9</xdr:row>
      <xdr:rowOff>0</xdr:rowOff>
    </xdr:from>
    <xdr:to>
      <xdr:col>5</xdr:col>
      <xdr:colOff>171450</xdr:colOff>
      <xdr:row>10</xdr:row>
      <xdr:rowOff>26670</xdr:rowOff>
    </xdr:to>
    <xdr:sp macro="" textlink="">
      <xdr:nvSpPr>
        <xdr:cNvPr id="2" name="Text Box 36"/>
        <xdr:cNvSpPr txBox="1">
          <a:spLocks noChangeArrowheads="1"/>
        </xdr:cNvSpPr>
      </xdr:nvSpPr>
      <xdr:spPr bwMode="auto">
        <a:xfrm>
          <a:off x="4619625" y="2047875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95250</xdr:colOff>
      <xdr:row>9</xdr:row>
      <xdr:rowOff>0</xdr:rowOff>
    </xdr:from>
    <xdr:to>
      <xdr:col>5</xdr:col>
      <xdr:colOff>171450</xdr:colOff>
      <xdr:row>10</xdr:row>
      <xdr:rowOff>26670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4619625" y="2047875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95250</xdr:colOff>
      <xdr:row>9</xdr:row>
      <xdr:rowOff>0</xdr:rowOff>
    </xdr:from>
    <xdr:to>
      <xdr:col>5</xdr:col>
      <xdr:colOff>171450</xdr:colOff>
      <xdr:row>10</xdr:row>
      <xdr:rowOff>26670</xdr:rowOff>
    </xdr:to>
    <xdr:sp macro="" textlink="">
      <xdr:nvSpPr>
        <xdr:cNvPr id="4" name="Text Box 36"/>
        <xdr:cNvSpPr txBox="1">
          <a:spLocks noChangeArrowheads="1"/>
        </xdr:cNvSpPr>
      </xdr:nvSpPr>
      <xdr:spPr bwMode="auto">
        <a:xfrm>
          <a:off x="4619625" y="2047875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523875</xdr:colOff>
      <xdr:row>30</xdr:row>
      <xdr:rowOff>0</xdr:rowOff>
    </xdr:from>
    <xdr:ext cx="2571750" cy="439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5 CuadroTexto"/>
            <xdr:cNvSpPr txBox="1"/>
          </xdr:nvSpPr>
          <xdr:spPr>
            <a:xfrm>
              <a:off x="523875" y="5391150"/>
              <a:ext cx="2571750" cy="439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/>
                      </a:rPr>
                      <m:t>SD</m:t>
                    </m:r>
                    <m:r>
                      <a:rPr lang="es-MX" sz="110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Wa</m:t>
                        </m:r>
                      </m:num>
                      <m:den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s-MX" sz="1100" b="0" i="0">
                                <a:latin typeface="Cambria Math"/>
                              </a:rPr>
                              <m:t>W</m:t>
                            </m:r>
                            <m:r>
                              <a:rPr lang="es-MX" sz="1100" b="0" i="0">
                                <a:latin typeface="Cambria Math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es-MX" sz="1100" b="0" i="0">
                                <a:latin typeface="Cambria Math"/>
                              </a:rPr>
                              <m:t>W</m:t>
                            </m:r>
                            <m:r>
                              <a:rPr lang="es-MX" sz="1100" b="0" i="0">
                                <a:latin typeface="Cambria Math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s-MX" sz="1100" b="0" i="0">
                                <a:latin typeface="Cambria Math"/>
                              </a:rPr>
                              <m:t>w</m:t>
                            </m:r>
                          </m:e>
                        </m:d>
                        <m:r>
                          <a:rPr lang="es-MX" sz="1100" b="0" i="0">
                            <a:latin typeface="Cambria Math"/>
                          </a:rPr>
                          <m:t>−(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W</m:t>
                        </m:r>
                        <m:r>
                          <a:rPr lang="es-MX" sz="1100" b="0" i="0">
                            <a:latin typeface="Cambria Math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Ww</m:t>
                        </m:r>
                        <m:r>
                          <a:rPr lang="es-MX" sz="1100" b="0" i="0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5" name="5 CuadroTexto"/>
            <xdr:cNvSpPr txBox="1"/>
          </xdr:nvSpPr>
          <xdr:spPr>
            <a:xfrm>
              <a:off x="523875" y="5391150"/>
              <a:ext cx="2571750" cy="439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SD</a:t>
              </a:r>
              <a:r>
                <a:rPr lang="es-MX" sz="1100" i="0">
                  <a:latin typeface="Cambria Math"/>
                </a:rPr>
                <a:t>=</a:t>
              </a:r>
              <a:r>
                <a:rPr lang="es-MX" sz="1100" b="0" i="0">
                  <a:latin typeface="Cambria Math"/>
                </a:rPr>
                <a:t>Wa</a:t>
              </a:r>
              <a:r>
                <a:rPr lang="es-MX" sz="1100" b="0" i="0">
                  <a:latin typeface="Cambria Math" panose="02040503050406030204" pitchFamily="18" charset="0"/>
                </a:rPr>
                <a:t>/((</a:t>
              </a:r>
              <a:r>
                <a:rPr lang="es-MX" sz="1100" b="0" i="0">
                  <a:latin typeface="Cambria Math"/>
                </a:rPr>
                <a:t>W1−W∗w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s-MX" sz="1100" b="0" i="0">
                  <a:latin typeface="Cambria Math"/>
                </a:rPr>
                <a:t>−(W1−Ww)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0</xdr:col>
      <xdr:colOff>28575</xdr:colOff>
      <xdr:row>30</xdr:row>
      <xdr:rowOff>38100</xdr:rowOff>
    </xdr:from>
    <xdr:to>
      <xdr:col>0</xdr:col>
      <xdr:colOff>685800</xdr:colOff>
      <xdr:row>31</xdr:row>
      <xdr:rowOff>114300</xdr:rowOff>
    </xdr:to>
    <xdr:sp macro="" textlink="">
      <xdr:nvSpPr>
        <xdr:cNvPr id="6" name="6 CuadroTexto"/>
        <xdr:cNvSpPr txBox="1"/>
      </xdr:nvSpPr>
      <xdr:spPr>
        <a:xfrm>
          <a:off x="28575" y="5429250"/>
          <a:ext cx="657225" cy="228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/>
            <a:t>FORMULA</a:t>
          </a:r>
        </a:p>
      </xdr:txBody>
    </xdr:sp>
    <xdr:clientData/>
  </xdr:twoCellAnchor>
  <xdr:oneCellAnchor>
    <xdr:from>
      <xdr:col>0</xdr:col>
      <xdr:colOff>514350</xdr:colOff>
      <xdr:row>40</xdr:row>
      <xdr:rowOff>19050</xdr:rowOff>
    </xdr:from>
    <xdr:ext cx="2571750" cy="439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7 CuadroTexto"/>
            <xdr:cNvSpPr txBox="1"/>
          </xdr:nvSpPr>
          <xdr:spPr>
            <a:xfrm>
              <a:off x="514350" y="6934200"/>
              <a:ext cx="2571750" cy="439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/>
                      </a:rPr>
                      <m:t>SD</m:t>
                    </m:r>
                    <m:r>
                      <a:rPr lang="es-MX" sz="110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Wp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Wp</m:t>
                        </m:r>
                        <m:r>
                          <a:rPr lang="es-MX" sz="1100" b="0" i="0">
                            <a:latin typeface="Cambria Math"/>
                          </a:rPr>
                          <m:t>−(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MX" sz="1100" b="0" i="0">
                                <a:latin typeface="Cambria Math"/>
                              </a:rPr>
                              <m:t>W</m:t>
                            </m:r>
                          </m:e>
                          <m:sup>
                            <m:r>
                              <a:rPr lang="es-MX" sz="1100" b="0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ap</m:t>
                        </m:r>
                        <m:r>
                          <a:rPr lang="es-MX" sz="1100" b="0" i="0">
                            <a:latin typeface="Cambria Math"/>
                          </a:rPr>
                          <m:t>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MX" sz="1100" b="0" i="0">
                                <a:latin typeface="Cambria Math"/>
                              </a:rPr>
                              <m:t>W</m:t>
                            </m:r>
                          </m:e>
                          <m:sup>
                            <m:r>
                              <a:rPr lang="es-MX" sz="1100" b="0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MX" sz="1100" b="0" i="0">
                            <a:latin typeface="Cambria Math"/>
                          </a:rPr>
                          <m:t>a</m:t>
                        </m:r>
                        <m:r>
                          <a:rPr lang="es-MX" sz="1100" b="0" i="0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7" name="7 CuadroTexto"/>
            <xdr:cNvSpPr txBox="1"/>
          </xdr:nvSpPr>
          <xdr:spPr>
            <a:xfrm>
              <a:off x="514350" y="6934200"/>
              <a:ext cx="2571750" cy="439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SD</a:t>
              </a:r>
              <a:r>
                <a:rPr lang="es-MX" sz="1100" i="0">
                  <a:latin typeface="Cambria Math"/>
                </a:rPr>
                <a:t>=</a:t>
              </a:r>
              <a:r>
                <a:rPr lang="es-MX" sz="1100" b="0" i="0">
                  <a:latin typeface="Cambria Math"/>
                </a:rPr>
                <a:t>Wp</a:t>
              </a:r>
              <a:r>
                <a:rPr lang="es-MX" sz="1100" b="0" i="0">
                  <a:latin typeface="Cambria Math" panose="02040503050406030204" pitchFamily="18" charset="0"/>
                </a:rPr>
                <a:t>/(</a:t>
              </a:r>
              <a:r>
                <a:rPr lang="es-MX" sz="1100" b="0" i="0">
                  <a:latin typeface="Cambria Math"/>
                </a:rPr>
                <a:t>Wp−(W</a:t>
              </a:r>
              <a:r>
                <a:rPr lang="es-MX" sz="1100" b="0" i="0">
                  <a:latin typeface="Cambria Math" panose="02040503050406030204" pitchFamily="18" charset="0"/>
                </a:rPr>
                <a:t>^</a:t>
              </a:r>
              <a:r>
                <a:rPr lang="es-MX" sz="1100" b="0" i="0">
                  <a:latin typeface="Cambria Math"/>
                </a:rPr>
                <a:t>′ ap−W</a:t>
              </a:r>
              <a:r>
                <a:rPr lang="es-MX" sz="1100" b="0" i="0">
                  <a:latin typeface="Cambria Math" panose="02040503050406030204" pitchFamily="18" charset="0"/>
                </a:rPr>
                <a:t>^</a:t>
              </a:r>
              <a:r>
                <a:rPr lang="es-MX" sz="1100" b="0" i="0">
                  <a:latin typeface="Cambria Math"/>
                </a:rPr>
                <a:t>′ a)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0</xdr:col>
      <xdr:colOff>66675</xdr:colOff>
      <xdr:row>40</xdr:row>
      <xdr:rowOff>57150</xdr:rowOff>
    </xdr:from>
    <xdr:to>
      <xdr:col>0</xdr:col>
      <xdr:colOff>723900</xdr:colOff>
      <xdr:row>41</xdr:row>
      <xdr:rowOff>133350</xdr:rowOff>
    </xdr:to>
    <xdr:sp macro="" textlink="">
      <xdr:nvSpPr>
        <xdr:cNvPr id="8" name="8 CuadroTexto"/>
        <xdr:cNvSpPr txBox="1"/>
      </xdr:nvSpPr>
      <xdr:spPr>
        <a:xfrm>
          <a:off x="66675" y="6972300"/>
          <a:ext cx="657225" cy="228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/>
            <a:t>FORMULA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27</xdr:row>
      <xdr:rowOff>28576</xdr:rowOff>
    </xdr:from>
    <xdr:to>
      <xdr:col>3</xdr:col>
      <xdr:colOff>510375</xdr:colOff>
      <xdr:row>39</xdr:row>
      <xdr:rowOff>59176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121226</xdr:colOff>
      <xdr:row>39</xdr:row>
      <xdr:rowOff>142876</xdr:rowOff>
    </xdr:from>
    <xdr:to>
      <xdr:col>3</xdr:col>
      <xdr:colOff>519899</xdr:colOff>
      <xdr:row>51</xdr:row>
      <xdr:rowOff>59176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51364</xdr:colOff>
      <xdr:row>14</xdr:row>
      <xdr:rowOff>33201</xdr:rowOff>
    </xdr:from>
    <xdr:to>
      <xdr:col>6</xdr:col>
      <xdr:colOff>813954</xdr:colOff>
      <xdr:row>26</xdr:row>
      <xdr:rowOff>63801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</xdr:row>
      <xdr:rowOff>8282</xdr:rowOff>
    </xdr:from>
    <xdr:to>
      <xdr:col>4</xdr:col>
      <xdr:colOff>670891</xdr:colOff>
      <xdr:row>13</xdr:row>
      <xdr:rowOff>0</xdr:rowOff>
    </xdr:to>
    <xdr:sp macro="" textlink="">
      <xdr:nvSpPr>
        <xdr:cNvPr id="5" name="6 Rectángulo"/>
        <xdr:cNvSpPr/>
      </xdr:nvSpPr>
      <xdr:spPr>
        <a:xfrm>
          <a:off x="3190875" y="1837082"/>
          <a:ext cx="670891" cy="182218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_tradnl" sz="1100"/>
        </a:p>
      </xdr:txBody>
    </xdr:sp>
    <xdr:clientData/>
  </xdr:twoCellAnchor>
  <xdr:twoCellAnchor>
    <xdr:from>
      <xdr:col>5</xdr:col>
      <xdr:colOff>491987</xdr:colOff>
      <xdr:row>11</xdr:row>
      <xdr:rowOff>183696</xdr:rowOff>
    </xdr:from>
    <xdr:to>
      <xdr:col>6</xdr:col>
      <xdr:colOff>144117</xdr:colOff>
      <xdr:row>13</xdr:row>
      <xdr:rowOff>710</xdr:rowOff>
    </xdr:to>
    <xdr:sp macro="" textlink="">
      <xdr:nvSpPr>
        <xdr:cNvPr id="6" name="7 Rectángulo"/>
        <xdr:cNvSpPr/>
      </xdr:nvSpPr>
      <xdr:spPr>
        <a:xfrm>
          <a:off x="5340212" y="1821996"/>
          <a:ext cx="566530" cy="198014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_tradnl" sz="1100"/>
        </a:p>
      </xdr:txBody>
    </xdr:sp>
    <xdr:clientData/>
  </xdr:twoCellAnchor>
  <xdr:twoCellAnchor>
    <xdr:from>
      <xdr:col>0</xdr:col>
      <xdr:colOff>121226</xdr:colOff>
      <xdr:row>14</xdr:row>
      <xdr:rowOff>30480</xdr:rowOff>
    </xdr:from>
    <xdr:to>
      <xdr:col>3</xdr:col>
      <xdr:colOff>512279</xdr:colOff>
      <xdr:row>26</xdr:row>
      <xdr:rowOff>61080</xdr:rowOff>
    </xdr:to>
    <xdr:graphicFrame macro="">
      <xdr:nvGraphicFramePr>
        <xdr:cNvPr id="7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27</xdr:row>
      <xdr:rowOff>38100</xdr:rowOff>
    </xdr:from>
    <xdr:to>
      <xdr:col>6</xdr:col>
      <xdr:colOff>813954</xdr:colOff>
      <xdr:row>39</xdr:row>
      <xdr:rowOff>68700</xdr:rowOff>
    </xdr:to>
    <xdr:graphicFrame macro="">
      <xdr:nvGraphicFramePr>
        <xdr:cNvPr id="8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207826</xdr:colOff>
      <xdr:row>29</xdr:row>
      <xdr:rowOff>60613</xdr:rowOff>
    </xdr:from>
    <xdr:to>
      <xdr:col>2</xdr:col>
      <xdr:colOff>216485</xdr:colOff>
      <xdr:row>39</xdr:row>
      <xdr:rowOff>8659</xdr:rowOff>
    </xdr:to>
    <xdr:cxnSp macro="">
      <xdr:nvCxnSpPr>
        <xdr:cNvPr id="9" name="1 Conector recto"/>
        <xdr:cNvCxnSpPr/>
      </xdr:nvCxnSpPr>
      <xdr:spPr>
        <a:xfrm flipH="1">
          <a:off x="2095508" y="4494068"/>
          <a:ext cx="8659" cy="1775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883228</xdr:colOff>
      <xdr:row>34</xdr:row>
      <xdr:rowOff>43307</xdr:rowOff>
    </xdr:from>
    <xdr:to>
      <xdr:col>3</xdr:col>
      <xdr:colOff>346363</xdr:colOff>
      <xdr:row>34</xdr:row>
      <xdr:rowOff>51955</xdr:rowOff>
    </xdr:to>
    <xdr:cxnSp macro="">
      <xdr:nvCxnSpPr>
        <xdr:cNvPr id="10" name="1 Conector recto"/>
        <xdr:cNvCxnSpPr/>
      </xdr:nvCxnSpPr>
      <xdr:spPr>
        <a:xfrm flipH="1" flipV="1">
          <a:off x="883228" y="5351330"/>
          <a:ext cx="2112817" cy="8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900546</xdr:colOff>
      <xdr:row>37</xdr:row>
      <xdr:rowOff>69274</xdr:rowOff>
    </xdr:from>
    <xdr:to>
      <xdr:col>6</xdr:col>
      <xdr:colOff>649433</xdr:colOff>
      <xdr:row>37</xdr:row>
      <xdr:rowOff>77933</xdr:rowOff>
    </xdr:to>
    <xdr:cxnSp macro="">
      <xdr:nvCxnSpPr>
        <xdr:cNvPr id="11" name="1 Conector recto"/>
        <xdr:cNvCxnSpPr/>
      </xdr:nvCxnSpPr>
      <xdr:spPr>
        <a:xfrm flipH="1" flipV="1">
          <a:off x="4091421" y="5984299"/>
          <a:ext cx="2320637" cy="86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571510</xdr:colOff>
      <xdr:row>29</xdr:row>
      <xdr:rowOff>69273</xdr:rowOff>
    </xdr:from>
    <xdr:to>
      <xdr:col>5</xdr:col>
      <xdr:colOff>571510</xdr:colOff>
      <xdr:row>39</xdr:row>
      <xdr:rowOff>17318</xdr:rowOff>
    </xdr:to>
    <xdr:cxnSp macro="">
      <xdr:nvCxnSpPr>
        <xdr:cNvPr id="12" name="1 Conector recto"/>
        <xdr:cNvCxnSpPr/>
      </xdr:nvCxnSpPr>
      <xdr:spPr>
        <a:xfrm>
          <a:off x="5420601" y="4502728"/>
          <a:ext cx="0" cy="17751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900546</xdr:colOff>
      <xdr:row>34</xdr:row>
      <xdr:rowOff>51957</xdr:rowOff>
    </xdr:from>
    <xdr:to>
      <xdr:col>6</xdr:col>
      <xdr:colOff>649433</xdr:colOff>
      <xdr:row>34</xdr:row>
      <xdr:rowOff>60616</xdr:rowOff>
    </xdr:to>
    <xdr:cxnSp macro="">
      <xdr:nvCxnSpPr>
        <xdr:cNvPr id="13" name="1 Conector recto"/>
        <xdr:cNvCxnSpPr/>
      </xdr:nvCxnSpPr>
      <xdr:spPr>
        <a:xfrm flipH="1" flipV="1">
          <a:off x="4091421" y="5395482"/>
          <a:ext cx="2320637" cy="86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762004</xdr:colOff>
      <xdr:row>22</xdr:row>
      <xdr:rowOff>164523</xdr:rowOff>
    </xdr:from>
    <xdr:to>
      <xdr:col>6</xdr:col>
      <xdr:colOff>675409</xdr:colOff>
      <xdr:row>22</xdr:row>
      <xdr:rowOff>173184</xdr:rowOff>
    </xdr:to>
    <xdr:cxnSp macro="">
      <xdr:nvCxnSpPr>
        <xdr:cNvPr id="14" name="1 Conector recto"/>
        <xdr:cNvCxnSpPr/>
      </xdr:nvCxnSpPr>
      <xdr:spPr>
        <a:xfrm flipH="1" flipV="1">
          <a:off x="3957209" y="3732068"/>
          <a:ext cx="2485155" cy="86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865913</xdr:colOff>
      <xdr:row>49</xdr:row>
      <xdr:rowOff>181841</xdr:rowOff>
    </xdr:from>
    <xdr:to>
      <xdr:col>3</xdr:col>
      <xdr:colOff>372341</xdr:colOff>
      <xdr:row>49</xdr:row>
      <xdr:rowOff>190502</xdr:rowOff>
    </xdr:to>
    <xdr:cxnSp macro="">
      <xdr:nvCxnSpPr>
        <xdr:cNvPr id="15" name="1 Conector recto"/>
        <xdr:cNvCxnSpPr/>
      </xdr:nvCxnSpPr>
      <xdr:spPr>
        <a:xfrm flipH="1">
          <a:off x="865913" y="8201891"/>
          <a:ext cx="2154378" cy="86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528214</xdr:colOff>
      <xdr:row>15</xdr:row>
      <xdr:rowOff>138545</xdr:rowOff>
    </xdr:from>
    <xdr:to>
      <xdr:col>5</xdr:col>
      <xdr:colOff>536872</xdr:colOff>
      <xdr:row>25</xdr:row>
      <xdr:rowOff>8658</xdr:rowOff>
    </xdr:to>
    <xdr:cxnSp macro="">
      <xdr:nvCxnSpPr>
        <xdr:cNvPr id="16" name="1 Conector recto"/>
        <xdr:cNvCxnSpPr/>
      </xdr:nvCxnSpPr>
      <xdr:spPr>
        <a:xfrm flipH="1" flipV="1">
          <a:off x="5377305" y="2372590"/>
          <a:ext cx="8658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207823</xdr:colOff>
      <xdr:row>42</xdr:row>
      <xdr:rowOff>34638</xdr:rowOff>
    </xdr:from>
    <xdr:to>
      <xdr:col>2</xdr:col>
      <xdr:colOff>225141</xdr:colOff>
      <xdr:row>50</xdr:row>
      <xdr:rowOff>285751</xdr:rowOff>
    </xdr:to>
    <xdr:cxnSp macro="">
      <xdr:nvCxnSpPr>
        <xdr:cNvPr id="17" name="1 Conector recto"/>
        <xdr:cNvCxnSpPr/>
      </xdr:nvCxnSpPr>
      <xdr:spPr>
        <a:xfrm flipV="1">
          <a:off x="2095505" y="6719456"/>
          <a:ext cx="17318" cy="1965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199165</xdr:colOff>
      <xdr:row>15</xdr:row>
      <xdr:rowOff>121226</xdr:rowOff>
    </xdr:from>
    <xdr:to>
      <xdr:col>2</xdr:col>
      <xdr:colOff>207824</xdr:colOff>
      <xdr:row>24</xdr:row>
      <xdr:rowOff>112567</xdr:rowOff>
    </xdr:to>
    <xdr:cxnSp macro="">
      <xdr:nvCxnSpPr>
        <xdr:cNvPr id="18" name="1 Conector recto"/>
        <xdr:cNvCxnSpPr/>
      </xdr:nvCxnSpPr>
      <xdr:spPr>
        <a:xfrm>
          <a:off x="2086847" y="2355271"/>
          <a:ext cx="8659" cy="16279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857249</xdr:colOff>
      <xdr:row>17</xdr:row>
      <xdr:rowOff>181845</xdr:rowOff>
    </xdr:from>
    <xdr:to>
      <xdr:col>3</xdr:col>
      <xdr:colOff>329045</xdr:colOff>
      <xdr:row>18</xdr:row>
      <xdr:rowOff>5</xdr:rowOff>
    </xdr:to>
    <xdr:cxnSp macro="">
      <xdr:nvCxnSpPr>
        <xdr:cNvPr id="19" name="1 Conector recto"/>
        <xdr:cNvCxnSpPr/>
      </xdr:nvCxnSpPr>
      <xdr:spPr>
        <a:xfrm flipH="1">
          <a:off x="857249" y="2796890"/>
          <a:ext cx="2121478" cy="8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8282</xdr:rowOff>
    </xdr:from>
    <xdr:to>
      <xdr:col>4</xdr:col>
      <xdr:colOff>670891</xdr:colOff>
      <xdr:row>13</xdr:row>
      <xdr:rowOff>0</xdr:rowOff>
    </xdr:to>
    <xdr:sp macro="" textlink="">
      <xdr:nvSpPr>
        <xdr:cNvPr id="20" name="22 Rectángulo"/>
        <xdr:cNvSpPr/>
      </xdr:nvSpPr>
      <xdr:spPr>
        <a:xfrm>
          <a:off x="3190875" y="1837082"/>
          <a:ext cx="670891" cy="182218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_tradnl" sz="1100"/>
        </a:p>
      </xdr:txBody>
    </xdr:sp>
    <xdr:clientData/>
  </xdr:twoCellAnchor>
  <xdr:twoCellAnchor>
    <xdr:from>
      <xdr:col>5</xdr:col>
      <xdr:colOff>491987</xdr:colOff>
      <xdr:row>11</xdr:row>
      <xdr:rowOff>183696</xdr:rowOff>
    </xdr:from>
    <xdr:to>
      <xdr:col>6</xdr:col>
      <xdr:colOff>144117</xdr:colOff>
      <xdr:row>13</xdr:row>
      <xdr:rowOff>710</xdr:rowOff>
    </xdr:to>
    <xdr:sp macro="" textlink="">
      <xdr:nvSpPr>
        <xdr:cNvPr id="21" name="24 Rectángulo"/>
        <xdr:cNvSpPr/>
      </xdr:nvSpPr>
      <xdr:spPr>
        <a:xfrm>
          <a:off x="5340212" y="1821996"/>
          <a:ext cx="566530" cy="198014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_tradnl" sz="1100"/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0.25524</cdr:x>
      <cdr:y>0.75125</cdr:y>
    </cdr:from>
    <cdr:to>
      <cdr:x>0.94986</cdr:x>
      <cdr:y>0.75541</cdr:y>
    </cdr:to>
    <cdr:cxnSp macro="">
      <cdr:nvCxnSpPr>
        <cdr:cNvPr id="7" name="6 Conector recto"/>
        <cdr:cNvCxnSpPr/>
      </cdr:nvCxnSpPr>
      <cdr:spPr>
        <a:xfrm xmlns:a="http://schemas.openxmlformats.org/drawingml/2006/main" flipH="1" flipV="1">
          <a:off x="775630" y="1564698"/>
          <a:ext cx="2110832" cy="8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16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343650" y="1314450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769620</xdr:colOff>
      <xdr:row>5</xdr:row>
      <xdr:rowOff>0</xdr:rowOff>
    </xdr:from>
    <xdr:to>
      <xdr:col>3</xdr:col>
      <xdr:colOff>80738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721995" y="1314450"/>
          <a:ext cx="130268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18</xdr:col>
      <xdr:colOff>472440</xdr:colOff>
      <xdr:row>67</xdr:row>
      <xdr:rowOff>38100</xdr:rowOff>
    </xdr:from>
    <xdr:to>
      <xdr:col>19</xdr:col>
      <xdr:colOff>117762</xdr:colOff>
      <xdr:row>67</xdr:row>
      <xdr:rowOff>49432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882890" y="16211550"/>
          <a:ext cx="121572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14</xdr:col>
      <xdr:colOff>17316</xdr:colOff>
      <xdr:row>28</xdr:row>
      <xdr:rowOff>155863</xdr:rowOff>
    </xdr:from>
    <xdr:to>
      <xdr:col>30</xdr:col>
      <xdr:colOff>484909</xdr:colOff>
      <xdr:row>47</xdr:row>
      <xdr:rowOff>252847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155863</xdr:colOff>
      <xdr:row>48</xdr:row>
      <xdr:rowOff>69273</xdr:rowOff>
    </xdr:from>
    <xdr:to>
      <xdr:col>31</xdr:col>
      <xdr:colOff>17318</xdr:colOff>
      <xdr:row>49</xdr:row>
      <xdr:rowOff>103909</xdr:rowOff>
    </xdr:to>
    <xdr:sp macro="" textlink="">
      <xdr:nvSpPr>
        <xdr:cNvPr id="6" name="8 CuadroTexto"/>
        <xdr:cNvSpPr txBox="1"/>
      </xdr:nvSpPr>
      <xdr:spPr>
        <a:xfrm>
          <a:off x="6061363" y="11318298"/>
          <a:ext cx="6414655" cy="2918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200" b="1"/>
            <a:t>200        100</a:t>
          </a:r>
          <a:r>
            <a:rPr lang="es-ES_tradnl" sz="1200" b="1" baseline="0"/>
            <a:t>         60            40                  20                    10                      4      1/4     3/8    1/2     3/4   1</a:t>
          </a:r>
          <a:endParaRPr lang="es-ES_tradnl" sz="1200" b="1"/>
        </a:p>
      </xdr:txBody>
    </xdr:sp>
    <xdr:clientData/>
  </xdr:twoCellAnchor>
  <xdr:oneCellAnchor>
    <xdr:from>
      <xdr:col>1</xdr:col>
      <xdr:colOff>277090</xdr:colOff>
      <xdr:row>59</xdr:row>
      <xdr:rowOff>249382</xdr:rowOff>
    </xdr:from>
    <xdr:ext cx="12247419" cy="824345"/>
    <xdr:sp macro="" textlink="">
      <xdr:nvSpPr>
        <xdr:cNvPr id="7" name="9 CuadroTexto"/>
        <xdr:cNvSpPr txBox="1"/>
      </xdr:nvSpPr>
      <xdr:spPr>
        <a:xfrm>
          <a:off x="334240" y="14108257"/>
          <a:ext cx="12247419" cy="824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>
            <a:lnSpc>
              <a:spcPct val="150000"/>
            </a:lnSpc>
          </a:pPr>
          <a:r>
            <a:rPr lang="es-MX" sz="1600" b="1" i="0" baseline="0">
              <a:solidFill>
                <a:schemeClr val="tx1"/>
              </a:solidFill>
              <a:latin typeface="+mn-lt"/>
              <a:ea typeface="+mn-ea"/>
              <a:cs typeface="Arial" pitchFamily="34" charset="0"/>
            </a:rPr>
            <a:t>KG. DE CEMENTO ASFALTICO POR M</a:t>
          </a:r>
          <a:r>
            <a:rPr lang="es-MX" sz="1600" b="1" i="0" baseline="30000">
              <a:solidFill>
                <a:schemeClr val="tx1"/>
              </a:solidFill>
              <a:latin typeface="+mn-lt"/>
              <a:ea typeface="+mn-ea"/>
              <a:cs typeface="Arial" pitchFamily="34" charset="0"/>
            </a:rPr>
            <a:t>3 </a:t>
          </a:r>
          <a:r>
            <a:rPr lang="es-MX" sz="1600" b="1" i="0" baseline="0">
              <a:solidFill>
                <a:schemeClr val="tx1"/>
              </a:solidFill>
              <a:latin typeface="+mn-lt"/>
              <a:ea typeface="+mn-ea"/>
              <a:cs typeface="Arial" pitchFamily="34" charset="0"/>
            </a:rPr>
            <a:t>MEZCLA COMPACTA ------------           103.3</a:t>
          </a:r>
        </a:p>
        <a:p>
          <a:pPr>
            <a:lnSpc>
              <a:spcPct val="150000"/>
            </a:lnSpc>
          </a:pPr>
          <a:r>
            <a:rPr lang="es-MX" sz="1600" b="1" i="0" baseline="0">
              <a:solidFill>
                <a:schemeClr val="tx1"/>
              </a:solidFill>
              <a:latin typeface="+mn-lt"/>
              <a:ea typeface="+mn-ea"/>
              <a:cs typeface="Arial" pitchFamily="34" charset="0"/>
            </a:rPr>
            <a:t>MEZCLA: 20 % DE SELLO CALIZO 3/8" , 30% DE MATERIAL SELLO REOLITICO 1/2" Y 50 % DE POLVILLO-ARENAS</a:t>
          </a:r>
          <a:endParaRPr lang="es-MX" sz="1600" b="1" i="0" baseline="30000">
            <a:solidFill>
              <a:schemeClr val="tx1"/>
            </a:solidFill>
            <a:latin typeface="+mn-lt"/>
            <a:ea typeface="+mn-ea"/>
            <a:cs typeface="Arial" pitchFamily="34" charset="0"/>
          </a:endParaRP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29" y="2063426"/>
          <a:ext cx="3934671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0</xdr:rowOff>
    </xdr:from>
    <xdr:to>
      <xdr:col>12</xdr:col>
      <xdr:colOff>647701</xdr:colOff>
      <xdr:row>20</xdr:row>
      <xdr:rowOff>114300</xdr:rowOff>
    </xdr:to>
    <xdr:graphicFrame macro="">
      <xdr:nvGraphicFramePr>
        <xdr:cNvPr id="3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</xdr:colOff>
      <xdr:row>0</xdr:row>
      <xdr:rowOff>1</xdr:rowOff>
    </xdr:from>
    <xdr:to>
      <xdr:col>12</xdr:col>
      <xdr:colOff>152401</xdr:colOff>
      <xdr:row>14</xdr:row>
      <xdr:rowOff>28575</xdr:rowOff>
    </xdr:to>
    <xdr:graphicFrame macro="">
      <xdr:nvGraphicFramePr>
        <xdr:cNvPr id="2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13</xdr:col>
      <xdr:colOff>15875</xdr:colOff>
      <xdr:row>32</xdr:row>
      <xdr:rowOff>47625</xdr:rowOff>
    </xdr:to>
    <xdr:graphicFrame macro="">
      <xdr:nvGraphicFramePr>
        <xdr:cNvPr id="3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4</xdr:row>
      <xdr:rowOff>0</xdr:rowOff>
    </xdr:from>
    <xdr:to>
      <xdr:col>15</xdr:col>
      <xdr:colOff>247650</xdr:colOff>
      <xdr:row>4</xdr:row>
      <xdr:rowOff>1</xdr:rowOff>
    </xdr:to>
    <xdr:cxnSp macro="">
      <xdr:nvCxnSpPr>
        <xdr:cNvPr id="2" name="1 Conector recto"/>
        <xdr:cNvCxnSpPr/>
      </xdr:nvCxnSpPr>
      <xdr:spPr>
        <a:xfrm flipV="1">
          <a:off x="5419725" y="1343025"/>
          <a:ext cx="9525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66676</xdr:colOff>
      <xdr:row>13</xdr:row>
      <xdr:rowOff>19050</xdr:rowOff>
    </xdr:from>
    <xdr:to>
      <xdr:col>20</xdr:col>
      <xdr:colOff>733426</xdr:colOff>
      <xdr:row>23</xdr:row>
      <xdr:rowOff>361950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275166</xdr:colOff>
      <xdr:row>23</xdr:row>
      <xdr:rowOff>264584</xdr:rowOff>
    </xdr:from>
    <xdr:to>
      <xdr:col>21</xdr:col>
      <xdr:colOff>222250</xdr:colOff>
      <xdr:row>24</xdr:row>
      <xdr:rowOff>21167</xdr:rowOff>
    </xdr:to>
    <xdr:sp macro="" textlink="">
      <xdr:nvSpPr>
        <xdr:cNvPr id="6" name="8 CuadroTexto"/>
        <xdr:cNvSpPr txBox="1"/>
      </xdr:nvSpPr>
      <xdr:spPr>
        <a:xfrm>
          <a:off x="6678083" y="5291667"/>
          <a:ext cx="4127500" cy="3280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800" b="1"/>
            <a:t>200      100</a:t>
          </a:r>
          <a:r>
            <a:rPr lang="es-ES_tradnl" sz="800" b="1" baseline="0"/>
            <a:t>          60         40               20                  10                     4     1/4    3/8  1/2   3/4      1</a:t>
          </a:r>
          <a:endParaRPr lang="es-ES_tradnl" sz="800" b="1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0.17345</cdr:x>
      <cdr:y>0.01768</cdr:y>
    </cdr:from>
    <cdr:to>
      <cdr:x>0.17369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851797" y="2046105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0.3339</cdr:x>
      <cdr:y>0.02152</cdr:y>
    </cdr:from>
    <cdr:to>
      <cdr:x>0.33414</cdr:x>
      <cdr:y>0.8959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179452" y="2063404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0.44262</cdr:x>
      <cdr:y>0.02343</cdr:y>
    </cdr:from>
    <cdr:to>
      <cdr:x>0.44472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884157" y="206604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0.57157</cdr:x>
      <cdr:y>0.02401</cdr:y>
    </cdr:from>
    <cdr:to>
      <cdr:x>0.57965</cdr:x>
      <cdr:y>0.89763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733896" y="2047701"/>
          <a:ext cx="3931227" cy="5195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0.70681</cdr:x>
      <cdr:y>0.01645</cdr:y>
    </cdr:from>
    <cdr:to>
      <cdr:x>0.70891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582177" y="2034601"/>
          <a:ext cx="3934672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0.75526</cdr:x>
      <cdr:y>0.02093</cdr:y>
    </cdr:from>
    <cdr:to>
      <cdr:x>0.7555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887603" y="2060769"/>
          <a:ext cx="3934671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0.81387</cdr:x>
      <cdr:y>0.02061</cdr:y>
    </cdr:from>
    <cdr:to>
      <cdr:x>0.81411</cdr:x>
      <cdr:y>0.89499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3264284" y="2059290"/>
          <a:ext cx="3934672" cy="154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0.85786</cdr:x>
      <cdr:y>0.01351</cdr:y>
    </cdr:from>
    <cdr:to>
      <cdr:x>0.85996</cdr:x>
      <cdr:y>0.88789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3552997" y="2021370"/>
          <a:ext cx="3934671" cy="1349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0.91565</cdr:x>
      <cdr:y>0.03215</cdr:y>
    </cdr:from>
    <cdr:to>
      <cdr:x>0.91589</cdr:x>
      <cdr:y>0.90653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918443" y="2111244"/>
          <a:ext cx="3934672" cy="154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0.25069</cdr:x>
      <cdr:y>0.0165</cdr:y>
    </cdr:from>
    <cdr:to>
      <cdr:x>0.25094</cdr:x>
      <cdr:y>0.88626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344928" y="2030375"/>
          <a:ext cx="3913882" cy="160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selection activeCell="B4" sqref="B4:F4"/>
    </sheetView>
  </sheetViews>
  <sheetFormatPr baseColWidth="10" defaultRowHeight="12"/>
  <cols>
    <col min="1" max="11" width="11.42578125" style="64"/>
    <col min="12" max="12" width="27.7109375" style="64" customWidth="1"/>
    <col min="13" max="16384" width="11.42578125" style="64"/>
  </cols>
  <sheetData>
    <row r="1" spans="1:8" ht="12" customHeight="1">
      <c r="A1" s="408" t="s">
        <v>56</v>
      </c>
      <c r="B1" s="409"/>
      <c r="C1" s="409"/>
      <c r="D1" s="409"/>
      <c r="E1" s="409"/>
      <c r="F1" s="410"/>
      <c r="G1" s="411"/>
      <c r="H1" s="412"/>
    </row>
    <row r="2" spans="1:8">
      <c r="A2" s="413" t="s">
        <v>14</v>
      </c>
      <c r="B2" s="414" t="s">
        <v>477</v>
      </c>
      <c r="C2" s="414"/>
      <c r="D2" s="414"/>
      <c r="E2" s="414"/>
      <c r="F2" s="414"/>
      <c r="G2" s="65" t="s">
        <v>34</v>
      </c>
      <c r="H2" s="66">
        <v>632</v>
      </c>
    </row>
    <row r="3" spans="1:8">
      <c r="A3" s="413"/>
      <c r="B3" s="414"/>
      <c r="C3" s="414"/>
      <c r="D3" s="414"/>
      <c r="E3" s="414"/>
      <c r="F3" s="414"/>
      <c r="G3" s="67" t="s">
        <v>1</v>
      </c>
      <c r="H3" s="68">
        <v>42341</v>
      </c>
    </row>
    <row r="4" spans="1:8">
      <c r="A4" s="65" t="s">
        <v>57</v>
      </c>
      <c r="B4" s="391" t="s">
        <v>470</v>
      </c>
      <c r="C4" s="392"/>
      <c r="D4" s="392"/>
      <c r="E4" s="392"/>
      <c r="F4" s="393"/>
      <c r="G4" s="67" t="s">
        <v>58</v>
      </c>
      <c r="H4" s="69">
        <f>H3+4</f>
        <v>42345</v>
      </c>
    </row>
    <row r="5" spans="1:8">
      <c r="A5" s="394" t="s">
        <v>5</v>
      </c>
      <c r="B5" s="395"/>
      <c r="C5" s="396" t="s">
        <v>471</v>
      </c>
      <c r="D5" s="397"/>
      <c r="E5" s="397"/>
      <c r="F5" s="398"/>
      <c r="G5" s="65"/>
      <c r="H5" s="65"/>
    </row>
    <row r="6" spans="1:8">
      <c r="A6" s="399" t="s">
        <v>59</v>
      </c>
      <c r="B6" s="399"/>
      <c r="C6" s="399"/>
      <c r="D6" s="399"/>
      <c r="E6" s="399"/>
      <c r="F6" s="399"/>
      <c r="G6" s="399"/>
      <c r="H6" s="399"/>
    </row>
    <row r="7" spans="1:8" ht="36">
      <c r="A7" s="70" t="s">
        <v>60</v>
      </c>
      <c r="B7" s="70" t="s">
        <v>61</v>
      </c>
      <c r="C7" s="71" t="s">
        <v>62</v>
      </c>
      <c r="D7" s="71" t="s">
        <v>63</v>
      </c>
      <c r="E7" s="71" t="s">
        <v>64</v>
      </c>
      <c r="F7" s="71" t="s">
        <v>65</v>
      </c>
      <c r="G7" s="415" t="s">
        <v>66</v>
      </c>
      <c r="H7" s="416"/>
    </row>
    <row r="8" spans="1:8">
      <c r="A8" s="72" t="s">
        <v>67</v>
      </c>
      <c r="B8" s="72" t="s">
        <v>68</v>
      </c>
      <c r="C8" s="72" t="s">
        <v>68</v>
      </c>
      <c r="D8" s="72" t="s">
        <v>69</v>
      </c>
      <c r="E8" s="72" t="s">
        <v>70</v>
      </c>
      <c r="F8" s="72" t="s">
        <v>70</v>
      </c>
      <c r="G8" s="73" t="s">
        <v>71</v>
      </c>
      <c r="H8" s="74">
        <v>2704</v>
      </c>
    </row>
    <row r="9" spans="1:8">
      <c r="A9" s="72" t="s">
        <v>72</v>
      </c>
      <c r="B9" s="72">
        <v>63.1</v>
      </c>
      <c r="C9" s="72"/>
      <c r="D9" s="75">
        <v>0</v>
      </c>
      <c r="E9" s="76">
        <f>D9/D25*100</f>
        <v>0</v>
      </c>
      <c r="F9" s="72">
        <f>100-E9</f>
        <v>100</v>
      </c>
      <c r="G9" s="73" t="s">
        <v>73</v>
      </c>
      <c r="H9" s="74">
        <v>1686</v>
      </c>
    </row>
    <row r="10" spans="1:8">
      <c r="A10" s="72" t="s">
        <v>74</v>
      </c>
      <c r="B10" s="72">
        <v>50</v>
      </c>
      <c r="C10" s="72"/>
      <c r="D10" s="75">
        <v>0</v>
      </c>
      <c r="E10" s="76">
        <f>D10/D25*100</f>
        <v>0</v>
      </c>
      <c r="F10" s="76">
        <f>F9-E10</f>
        <v>100</v>
      </c>
      <c r="G10" s="73" t="s">
        <v>75</v>
      </c>
      <c r="H10" s="74">
        <v>5671.3</v>
      </c>
    </row>
    <row r="11" spans="1:8">
      <c r="A11" s="77" t="s">
        <v>76</v>
      </c>
      <c r="B11" s="72">
        <v>36.1</v>
      </c>
      <c r="C11" s="72"/>
      <c r="D11" s="75">
        <v>0</v>
      </c>
      <c r="E11" s="76">
        <f>D11/D25*100</f>
        <v>0</v>
      </c>
      <c r="F11" s="76">
        <f t="shared" ref="F11:F23" si="0">F10-E11</f>
        <v>100</v>
      </c>
      <c r="G11" s="111" t="s">
        <v>77</v>
      </c>
      <c r="H11" s="112">
        <f>D25/H8*1000</f>
        <v>1473.853550295858</v>
      </c>
    </row>
    <row r="12" spans="1:8">
      <c r="A12" s="77" t="s">
        <v>78</v>
      </c>
      <c r="B12" s="72">
        <v>25.4</v>
      </c>
      <c r="C12" s="72"/>
      <c r="D12" s="75">
        <v>0</v>
      </c>
      <c r="E12" s="76">
        <f>D12/D25*100</f>
        <v>0</v>
      </c>
      <c r="F12" s="76">
        <f t="shared" si="0"/>
        <v>100</v>
      </c>
      <c r="G12" s="144" t="s">
        <v>453</v>
      </c>
      <c r="H12" s="78"/>
    </row>
    <row r="13" spans="1:8">
      <c r="A13" s="77" t="s">
        <v>79</v>
      </c>
      <c r="B13" s="70">
        <v>19.05</v>
      </c>
      <c r="C13" s="72"/>
      <c r="D13" s="75">
        <v>0</v>
      </c>
      <c r="E13" s="76">
        <f>D13/D25*100</f>
        <v>0</v>
      </c>
      <c r="F13" s="76">
        <f t="shared" si="0"/>
        <v>100</v>
      </c>
      <c r="H13" s="145"/>
    </row>
    <row r="14" spans="1:8">
      <c r="A14" s="77" t="s">
        <v>80</v>
      </c>
      <c r="B14" s="71">
        <v>12.7</v>
      </c>
      <c r="C14" s="72"/>
      <c r="D14" s="75">
        <v>0</v>
      </c>
      <c r="E14" s="79">
        <f>D14/D25*100</f>
        <v>0</v>
      </c>
      <c r="F14" s="76">
        <f t="shared" si="0"/>
        <v>100</v>
      </c>
      <c r="G14" s="144"/>
      <c r="H14" s="145"/>
    </row>
    <row r="15" spans="1:8">
      <c r="A15" s="77" t="s">
        <v>81</v>
      </c>
      <c r="B15" s="71">
        <v>9.52</v>
      </c>
      <c r="C15" s="72"/>
      <c r="D15" s="75">
        <v>10</v>
      </c>
      <c r="E15" s="79">
        <f>D15/D25*100</f>
        <v>0.25092213886031167</v>
      </c>
      <c r="F15" s="76">
        <f t="shared" si="0"/>
        <v>99.749077861139682</v>
      </c>
      <c r="G15" s="144"/>
      <c r="H15" s="145"/>
    </row>
    <row r="16" spans="1:8">
      <c r="A16" s="77" t="s">
        <v>82</v>
      </c>
      <c r="B16" s="71">
        <v>6.3</v>
      </c>
      <c r="C16" s="72"/>
      <c r="D16" s="75">
        <v>981</v>
      </c>
      <c r="E16" s="79">
        <f>D16/D25*100</f>
        <v>24.615461822196572</v>
      </c>
      <c r="F16" s="76">
        <f t="shared" si="0"/>
        <v>75.133616038943103</v>
      </c>
      <c r="G16" s="144"/>
      <c r="H16" s="145"/>
    </row>
    <row r="17" spans="1:8">
      <c r="A17" s="77" t="s">
        <v>25</v>
      </c>
      <c r="B17" s="80">
        <v>4.75</v>
      </c>
      <c r="C17" s="72"/>
      <c r="D17" s="75">
        <v>875.4</v>
      </c>
      <c r="E17" s="79">
        <f>D17/D25*100</f>
        <v>21.965724035831681</v>
      </c>
      <c r="F17" s="76">
        <f t="shared" si="0"/>
        <v>53.167892003111419</v>
      </c>
      <c r="G17" s="144"/>
      <c r="H17" s="145"/>
    </row>
    <row r="18" spans="1:8">
      <c r="A18" s="77" t="s">
        <v>83</v>
      </c>
      <c r="B18" s="81">
        <v>2.36</v>
      </c>
      <c r="C18" s="72"/>
      <c r="D18" s="75">
        <v>2002.4</v>
      </c>
      <c r="E18" s="79">
        <f>D18/D25*100</f>
        <v>50.244649085388801</v>
      </c>
      <c r="F18" s="76">
        <f t="shared" si="0"/>
        <v>2.923242917722618</v>
      </c>
      <c r="G18" s="144"/>
      <c r="H18" s="145"/>
    </row>
    <row r="19" spans="1:8">
      <c r="A19" s="77" t="s">
        <v>84</v>
      </c>
      <c r="B19" s="81">
        <v>1.18</v>
      </c>
      <c r="C19" s="72"/>
      <c r="D19" s="75">
        <v>34.6</v>
      </c>
      <c r="E19" s="79">
        <f>D19/D25*100</f>
        <v>0.86819060045667829</v>
      </c>
      <c r="F19" s="76">
        <f t="shared" si="0"/>
        <v>2.0550523172659396</v>
      </c>
      <c r="G19" s="144"/>
      <c r="H19" s="145"/>
    </row>
    <row r="20" spans="1:8">
      <c r="A20" s="77" t="s">
        <v>28</v>
      </c>
      <c r="B20" s="81">
        <v>0.6</v>
      </c>
      <c r="C20" s="72"/>
      <c r="D20" s="75">
        <v>64.3</v>
      </c>
      <c r="E20" s="79">
        <f>D20/D25*100</f>
        <v>1.613429352871804</v>
      </c>
      <c r="F20" s="76">
        <f t="shared" si="0"/>
        <v>0.44162296439413562</v>
      </c>
      <c r="G20" s="144"/>
      <c r="H20" s="145"/>
    </row>
    <row r="21" spans="1:8">
      <c r="A21" s="77" t="s">
        <v>29</v>
      </c>
      <c r="B21" s="82">
        <v>0.3</v>
      </c>
      <c r="C21" s="72"/>
      <c r="D21" s="75">
        <v>0</v>
      </c>
      <c r="E21" s="79">
        <f>D21/D25*100</f>
        <v>0</v>
      </c>
      <c r="F21" s="76">
        <f t="shared" si="0"/>
        <v>0.44162296439413562</v>
      </c>
      <c r="G21" s="144"/>
      <c r="H21" s="145"/>
    </row>
    <row r="22" spans="1:8">
      <c r="A22" s="77" t="s">
        <v>30</v>
      </c>
      <c r="B22" s="83">
        <v>0.14899999999999999</v>
      </c>
      <c r="C22" s="72"/>
      <c r="D22" s="75">
        <v>0</v>
      </c>
      <c r="E22" s="79">
        <f>D22/D25*100</f>
        <v>0</v>
      </c>
      <c r="F22" s="76">
        <f t="shared" si="0"/>
        <v>0.44162296439413562</v>
      </c>
      <c r="G22" s="146"/>
      <c r="H22" s="147"/>
    </row>
    <row r="23" spans="1:8">
      <c r="A23" s="77" t="s">
        <v>31</v>
      </c>
      <c r="B23" s="83">
        <v>7.3999999999999996E-2</v>
      </c>
      <c r="C23" s="72"/>
      <c r="D23" s="75">
        <v>0</v>
      </c>
      <c r="E23" s="79">
        <f>D23/D25*100</f>
        <v>0</v>
      </c>
      <c r="F23" s="76">
        <f t="shared" si="0"/>
        <v>0.44162296439413562</v>
      </c>
      <c r="G23" s="400" t="s">
        <v>85</v>
      </c>
      <c r="H23" s="400"/>
    </row>
    <row r="24" spans="1:8">
      <c r="A24" s="77" t="s">
        <v>86</v>
      </c>
      <c r="B24" s="80" t="s">
        <v>87</v>
      </c>
      <c r="C24" s="72"/>
      <c r="D24" s="84">
        <f>(D25-(SUM(D11:D23)))</f>
        <v>17.599999999999909</v>
      </c>
      <c r="E24" s="79">
        <f>D24/D25*100</f>
        <v>0.44162296439414617</v>
      </c>
      <c r="F24" s="76">
        <f>F23-E24</f>
        <v>-1.0547118733938987E-14</v>
      </c>
      <c r="G24" s="400"/>
      <c r="H24" s="400"/>
    </row>
    <row r="25" spans="1:8">
      <c r="A25" s="77" t="s">
        <v>88</v>
      </c>
      <c r="B25" s="85" t="s">
        <v>87</v>
      </c>
      <c r="C25" s="72"/>
      <c r="D25" s="86">
        <f>H10-H9</f>
        <v>3985.3</v>
      </c>
      <c r="E25" s="72"/>
      <c r="F25" s="72"/>
      <c r="G25" s="400"/>
      <c r="H25" s="400"/>
    </row>
    <row r="26" spans="1:8">
      <c r="A26" s="401" t="s">
        <v>89</v>
      </c>
      <c r="B26" s="402"/>
      <c r="C26" s="402"/>
      <c r="D26" s="402"/>
      <c r="E26" s="402"/>
      <c r="F26" s="402"/>
      <c r="G26" s="87" t="s">
        <v>90</v>
      </c>
      <c r="H26" s="403">
        <v>0</v>
      </c>
    </row>
    <row r="27" spans="1:8" ht="12.75" customHeight="1">
      <c r="A27" s="406" t="s">
        <v>91</v>
      </c>
      <c r="B27" s="407"/>
      <c r="C27" s="407"/>
      <c r="D27" s="407"/>
      <c r="E27" s="407"/>
      <c r="F27" s="88" t="s">
        <v>92</v>
      </c>
      <c r="G27" s="75">
        <v>0</v>
      </c>
      <c r="H27" s="404"/>
    </row>
    <row r="28" spans="1:8" ht="12" customHeight="1">
      <c r="A28" s="406" t="s">
        <v>93</v>
      </c>
      <c r="B28" s="407"/>
      <c r="C28" s="407"/>
      <c r="D28" s="407"/>
      <c r="E28" s="407"/>
      <c r="F28" s="88" t="s">
        <v>94</v>
      </c>
      <c r="G28" s="75">
        <v>0</v>
      </c>
      <c r="H28" s="404"/>
    </row>
    <row r="29" spans="1:8" ht="12.75" customHeight="1">
      <c r="A29" s="406" t="s">
        <v>95</v>
      </c>
      <c r="B29" s="407"/>
      <c r="C29" s="407"/>
      <c r="D29" s="407"/>
      <c r="E29" s="407"/>
      <c r="F29" s="88" t="s">
        <v>96</v>
      </c>
      <c r="G29" s="75">
        <v>0</v>
      </c>
      <c r="H29" s="404"/>
    </row>
    <row r="30" spans="1:8" ht="12" customHeight="1">
      <c r="A30" s="406" t="s">
        <v>97</v>
      </c>
      <c r="B30" s="407"/>
      <c r="C30" s="407"/>
      <c r="D30" s="407"/>
      <c r="E30" s="407"/>
      <c r="F30" s="89"/>
      <c r="G30" s="143" t="e">
        <f>G27/(G28-G29)</f>
        <v>#DIV/0!</v>
      </c>
      <c r="H30" s="404"/>
    </row>
    <row r="31" spans="1:8" ht="12" customHeight="1">
      <c r="A31" s="406" t="s">
        <v>98</v>
      </c>
      <c r="B31" s="407"/>
      <c r="C31" s="407"/>
      <c r="D31" s="407"/>
      <c r="E31" s="407"/>
      <c r="F31" s="89"/>
      <c r="G31" s="90" t="e">
        <f>G28/(G28-G29)</f>
        <v>#DIV/0!</v>
      </c>
      <c r="H31" s="404"/>
    </row>
    <row r="32" spans="1:8" ht="12" customHeight="1">
      <c r="A32" s="406" t="s">
        <v>99</v>
      </c>
      <c r="B32" s="407"/>
      <c r="C32" s="407"/>
      <c r="D32" s="407"/>
      <c r="E32" s="407"/>
      <c r="F32" s="89"/>
      <c r="G32" s="90" t="e">
        <f>G27/(G27-G29)</f>
        <v>#DIV/0!</v>
      </c>
      <c r="H32" s="404"/>
    </row>
    <row r="33" spans="1:13">
      <c r="A33" s="406" t="s">
        <v>100</v>
      </c>
      <c r="B33" s="407"/>
      <c r="C33" s="407"/>
      <c r="D33" s="407"/>
      <c r="E33" s="407"/>
      <c r="F33" s="89"/>
      <c r="G33" s="143" t="e">
        <f>((G28-G27)/G27)*100</f>
        <v>#DIV/0!</v>
      </c>
      <c r="H33" s="404"/>
    </row>
    <row r="34" spans="1:13">
      <c r="A34" s="417" t="s">
        <v>101</v>
      </c>
      <c r="B34" s="418"/>
      <c r="C34" s="418"/>
      <c r="D34" s="418"/>
      <c r="E34" s="418"/>
      <c r="F34" s="418"/>
      <c r="G34" s="91" t="s">
        <v>90</v>
      </c>
      <c r="H34" s="404"/>
    </row>
    <row r="35" spans="1:13" ht="12.75" customHeight="1">
      <c r="A35" s="406" t="s">
        <v>91</v>
      </c>
      <c r="B35" s="407"/>
      <c r="C35" s="407"/>
      <c r="D35" s="407"/>
      <c r="E35" s="407"/>
      <c r="F35" s="88" t="s">
        <v>92</v>
      </c>
      <c r="G35" s="75">
        <v>0</v>
      </c>
      <c r="H35" s="404"/>
    </row>
    <row r="36" spans="1:13" ht="12" customHeight="1">
      <c r="A36" s="406" t="s">
        <v>102</v>
      </c>
      <c r="B36" s="407"/>
      <c r="C36" s="407"/>
      <c r="D36" s="407"/>
      <c r="E36" s="407"/>
      <c r="F36" s="88" t="s">
        <v>94</v>
      </c>
      <c r="G36" s="75">
        <v>0</v>
      </c>
      <c r="H36" s="404"/>
    </row>
    <row r="37" spans="1:13" ht="12" customHeight="1">
      <c r="A37" s="406" t="s">
        <v>103</v>
      </c>
      <c r="B37" s="407"/>
      <c r="C37" s="407"/>
      <c r="D37" s="407"/>
      <c r="E37" s="407"/>
      <c r="F37" s="88" t="s">
        <v>96</v>
      </c>
      <c r="G37" s="75">
        <v>0</v>
      </c>
      <c r="H37" s="404"/>
    </row>
    <row r="38" spans="1:13" ht="12.75" customHeight="1">
      <c r="A38" s="406" t="s">
        <v>104</v>
      </c>
      <c r="B38" s="407"/>
      <c r="C38" s="407"/>
      <c r="D38" s="407"/>
      <c r="E38" s="407"/>
      <c r="F38" s="88" t="s">
        <v>105</v>
      </c>
      <c r="G38" s="75">
        <v>0</v>
      </c>
      <c r="H38" s="404"/>
    </row>
    <row r="39" spans="1:13" ht="12" customHeight="1">
      <c r="A39" s="406" t="s">
        <v>97</v>
      </c>
      <c r="B39" s="407"/>
      <c r="C39" s="407"/>
      <c r="D39" s="407"/>
      <c r="E39" s="407"/>
      <c r="F39" s="89"/>
      <c r="G39" s="90" t="e">
        <f>G35/(G36+G38-G37)</f>
        <v>#DIV/0!</v>
      </c>
      <c r="H39" s="404"/>
    </row>
    <row r="40" spans="1:13" ht="12" customHeight="1">
      <c r="A40" s="406" t="s">
        <v>98</v>
      </c>
      <c r="B40" s="407"/>
      <c r="C40" s="407"/>
      <c r="D40" s="407"/>
      <c r="E40" s="407"/>
      <c r="F40" s="89"/>
      <c r="G40" s="90" t="e">
        <f>G38/(G36+G38-G37)</f>
        <v>#DIV/0!</v>
      </c>
      <c r="H40" s="404"/>
    </row>
    <row r="41" spans="1:13" ht="12" customHeight="1">
      <c r="A41" s="406" t="s">
        <v>99</v>
      </c>
      <c r="B41" s="407"/>
      <c r="C41" s="407"/>
      <c r="D41" s="407"/>
      <c r="E41" s="407"/>
      <c r="F41" s="89"/>
      <c r="G41" s="90" t="e">
        <f>G35/((G36+G35)-G37)</f>
        <v>#DIV/0!</v>
      </c>
      <c r="H41" s="404"/>
    </row>
    <row r="42" spans="1:13" ht="12" customHeight="1">
      <c r="A42" s="406" t="s">
        <v>100</v>
      </c>
      <c r="B42" s="407"/>
      <c r="C42" s="407"/>
      <c r="D42" s="407"/>
      <c r="E42" s="407"/>
      <c r="F42" s="89"/>
      <c r="G42" s="90" t="e">
        <f>100*((G38-G35)/G35)</f>
        <v>#DIV/0!</v>
      </c>
      <c r="H42" s="405"/>
      <c r="J42" s="388" t="s">
        <v>38</v>
      </c>
      <c r="K42" s="389"/>
      <c r="L42" s="390"/>
      <c r="M42" s="118"/>
    </row>
    <row r="43" spans="1:13" ht="12" customHeight="1">
      <c r="A43" s="419" t="s">
        <v>106</v>
      </c>
      <c r="B43" s="419"/>
      <c r="C43" s="419"/>
      <c r="D43" s="419"/>
      <c r="E43" s="419"/>
      <c r="F43" s="419" t="s">
        <v>107</v>
      </c>
      <c r="G43" s="419"/>
      <c r="H43" s="419"/>
      <c r="J43" s="388" t="s">
        <v>45</v>
      </c>
      <c r="K43" s="389"/>
      <c r="L43" s="390"/>
      <c r="M43" s="118" t="s">
        <v>47</v>
      </c>
    </row>
    <row r="44" spans="1:13" ht="22.5">
      <c r="A44" s="420" t="s">
        <v>108</v>
      </c>
      <c r="B44" s="420" t="s">
        <v>109</v>
      </c>
      <c r="C44" s="422" t="s">
        <v>110</v>
      </c>
      <c r="D44" s="422"/>
      <c r="E44" s="92" t="s">
        <v>111</v>
      </c>
      <c r="F44" s="93" t="s">
        <v>112</v>
      </c>
      <c r="G44" s="421" t="s">
        <v>113</v>
      </c>
      <c r="H44" s="421"/>
      <c r="J44" s="388" t="s">
        <v>39</v>
      </c>
      <c r="K44" s="389"/>
      <c r="L44" s="390"/>
      <c r="M44" s="118">
        <v>2.4</v>
      </c>
    </row>
    <row r="45" spans="1:13" ht="24">
      <c r="A45" s="421"/>
      <c r="B45" s="421"/>
      <c r="C45" s="94" t="s">
        <v>114</v>
      </c>
      <c r="D45" s="94" t="s">
        <v>115</v>
      </c>
      <c r="E45" s="94" t="s">
        <v>114</v>
      </c>
      <c r="F45" s="95">
        <v>50</v>
      </c>
      <c r="G45" s="388"/>
      <c r="H45" s="390"/>
      <c r="J45" s="388" t="s">
        <v>40</v>
      </c>
      <c r="K45" s="389"/>
      <c r="L45" s="390"/>
      <c r="M45" s="118">
        <v>30</v>
      </c>
    </row>
    <row r="46" spans="1:13" ht="12" customHeight="1">
      <c r="A46" s="96" t="s">
        <v>168</v>
      </c>
      <c r="B46" s="113">
        <v>100</v>
      </c>
      <c r="C46" s="114">
        <v>33</v>
      </c>
      <c r="D46" s="97">
        <f>B46-C46</f>
        <v>67</v>
      </c>
      <c r="E46" s="99">
        <f>C46/B46*100</f>
        <v>33</v>
      </c>
      <c r="F46" s="423" t="s">
        <v>116</v>
      </c>
      <c r="G46" s="423" t="s">
        <v>117</v>
      </c>
      <c r="H46" s="423" t="s">
        <v>118</v>
      </c>
      <c r="J46" s="388" t="s">
        <v>41</v>
      </c>
      <c r="K46" s="389"/>
      <c r="L46" s="390"/>
      <c r="M46" s="118">
        <v>35</v>
      </c>
    </row>
    <row r="47" spans="1:13" ht="12" customHeight="1">
      <c r="A47" s="96" t="s">
        <v>166</v>
      </c>
      <c r="B47" s="115">
        <v>100</v>
      </c>
      <c r="C47" s="115">
        <v>32</v>
      </c>
      <c r="D47" s="97">
        <f>B47-C47</f>
        <v>68</v>
      </c>
      <c r="E47" s="99">
        <f>C47/B47*100</f>
        <v>32</v>
      </c>
      <c r="F47" s="420"/>
      <c r="G47" s="420"/>
      <c r="H47" s="420"/>
      <c r="J47" s="388" t="s">
        <v>42</v>
      </c>
      <c r="K47" s="389"/>
      <c r="L47" s="390"/>
      <c r="M47" s="118">
        <v>50</v>
      </c>
    </row>
    <row r="48" spans="1:13" ht="12" customHeight="1">
      <c r="A48" s="100" t="s">
        <v>167</v>
      </c>
      <c r="B48" s="116">
        <v>100</v>
      </c>
      <c r="C48" s="116">
        <v>32</v>
      </c>
      <c r="D48" s="97">
        <f>B48-C48</f>
        <v>68</v>
      </c>
      <c r="E48" s="99">
        <f>C48/B48*100</f>
        <v>32</v>
      </c>
      <c r="F48" s="424">
        <v>5</v>
      </c>
      <c r="G48" s="424">
        <v>3.78</v>
      </c>
      <c r="H48" s="426">
        <f>G50/F48*100</f>
        <v>24.400000000000006</v>
      </c>
      <c r="J48" s="388" t="s">
        <v>43</v>
      </c>
      <c r="K48" s="389"/>
      <c r="L48" s="390"/>
      <c r="M48" s="118">
        <v>25</v>
      </c>
    </row>
    <row r="49" spans="1:13" ht="12" customHeight="1">
      <c r="A49" s="101" t="s">
        <v>169</v>
      </c>
      <c r="B49" s="116">
        <v>0</v>
      </c>
      <c r="C49" s="116">
        <v>0</v>
      </c>
      <c r="D49" s="97">
        <f>B49-C49</f>
        <v>0</v>
      </c>
      <c r="E49" s="99" t="e">
        <f>C49/B49*100</f>
        <v>#DIV/0!</v>
      </c>
      <c r="F49" s="425"/>
      <c r="G49" s="425"/>
      <c r="H49" s="427"/>
      <c r="J49" s="388" t="s">
        <v>55</v>
      </c>
      <c r="K49" s="389"/>
      <c r="L49" s="390"/>
      <c r="M49" s="118"/>
    </row>
    <row r="50" spans="1:13">
      <c r="A50" s="117" t="s">
        <v>85</v>
      </c>
      <c r="B50" s="118">
        <f>SUM(B46:B49)</f>
        <v>300</v>
      </c>
      <c r="C50" s="118">
        <f>SUM(C46:C49)</f>
        <v>97</v>
      </c>
      <c r="D50" s="102" t="s">
        <v>119</v>
      </c>
      <c r="E50" s="119">
        <f>C50/B50*100</f>
        <v>32.333333333333329</v>
      </c>
      <c r="F50" s="103" t="s">
        <v>85</v>
      </c>
      <c r="G50" s="120">
        <f>F48-G48</f>
        <v>1.2200000000000002</v>
      </c>
      <c r="H50" s="104"/>
      <c r="J50" s="388"/>
      <c r="K50" s="389"/>
      <c r="L50" s="390"/>
      <c r="M50" s="118"/>
    </row>
    <row r="51" spans="1:13">
      <c r="A51" s="431" t="s">
        <v>46</v>
      </c>
      <c r="B51" s="432"/>
      <c r="C51" s="432"/>
      <c r="D51" s="432"/>
      <c r="E51" s="432"/>
      <c r="F51" s="432"/>
      <c r="G51" s="432"/>
      <c r="H51" s="433"/>
    </row>
    <row r="52" spans="1:13" ht="14.25">
      <c r="A52" s="421" t="s">
        <v>120</v>
      </c>
      <c r="B52" s="421" t="s">
        <v>121</v>
      </c>
      <c r="C52" s="421"/>
      <c r="D52" s="434" t="s">
        <v>122</v>
      </c>
      <c r="E52" s="434"/>
      <c r="F52" s="105" t="s">
        <v>123</v>
      </c>
      <c r="G52" s="105"/>
      <c r="H52" s="421" t="s">
        <v>124</v>
      </c>
    </row>
    <row r="53" spans="1:13">
      <c r="A53" s="421"/>
      <c r="B53" s="72" t="s">
        <v>125</v>
      </c>
      <c r="C53" s="72" t="s">
        <v>126</v>
      </c>
      <c r="D53" s="72" t="s">
        <v>125</v>
      </c>
      <c r="E53" s="72" t="s">
        <v>126</v>
      </c>
      <c r="F53" s="94" t="s">
        <v>127</v>
      </c>
      <c r="G53" s="94" t="s">
        <v>128</v>
      </c>
      <c r="H53" s="421"/>
    </row>
    <row r="54" spans="1:13">
      <c r="A54" s="72">
        <v>1</v>
      </c>
      <c r="B54" s="106"/>
      <c r="C54" s="106"/>
      <c r="D54" s="106"/>
      <c r="E54" s="106"/>
      <c r="F54" s="98">
        <v>0</v>
      </c>
      <c r="G54" s="98">
        <v>0</v>
      </c>
      <c r="H54" s="97" t="e">
        <f>F54/G54*100</f>
        <v>#DIV/0!</v>
      </c>
    </row>
    <row r="55" spans="1:13">
      <c r="A55" s="72">
        <v>2</v>
      </c>
      <c r="B55" s="106"/>
      <c r="C55" s="106"/>
      <c r="D55" s="106"/>
      <c r="E55" s="106"/>
      <c r="F55" s="98">
        <v>0</v>
      </c>
      <c r="G55" s="98">
        <v>0</v>
      </c>
      <c r="H55" s="97" t="e">
        <f>F55/G55*100</f>
        <v>#DIV/0!</v>
      </c>
    </row>
    <row r="56" spans="1:13">
      <c r="A56" s="72">
        <v>3</v>
      </c>
      <c r="B56" s="106"/>
      <c r="C56" s="106"/>
      <c r="D56" s="106"/>
      <c r="E56" s="106"/>
      <c r="F56" s="98">
        <v>0</v>
      </c>
      <c r="G56" s="98">
        <v>0</v>
      </c>
      <c r="H56" s="97" t="e">
        <f>F56/G56*100</f>
        <v>#DIV/0!</v>
      </c>
    </row>
    <row r="57" spans="1:13">
      <c r="A57" s="428" t="s">
        <v>85</v>
      </c>
      <c r="B57" s="429"/>
      <c r="C57" s="429"/>
      <c r="D57" s="429"/>
      <c r="E57" s="429"/>
      <c r="F57" s="430"/>
      <c r="G57" s="107" t="s">
        <v>129</v>
      </c>
      <c r="H57" s="79" t="e">
        <f>AVERAGE(H54:H56)</f>
        <v>#DIV/0!</v>
      </c>
    </row>
  </sheetData>
  <mergeCells count="56">
    <mergeCell ref="A57:F57"/>
    <mergeCell ref="A51:H51"/>
    <mergeCell ref="A52:A53"/>
    <mergeCell ref="B52:C52"/>
    <mergeCell ref="D52:E52"/>
    <mergeCell ref="H52:H53"/>
    <mergeCell ref="F46:F47"/>
    <mergeCell ref="G46:G47"/>
    <mergeCell ref="H46:H47"/>
    <mergeCell ref="F48:F49"/>
    <mergeCell ref="G48:G49"/>
    <mergeCell ref="H48:H49"/>
    <mergeCell ref="A43:E43"/>
    <mergeCell ref="F43:H43"/>
    <mergeCell ref="A44:A45"/>
    <mergeCell ref="B44:B45"/>
    <mergeCell ref="C44:D44"/>
    <mergeCell ref="G44:H44"/>
    <mergeCell ref="G45:H45"/>
    <mergeCell ref="A37:E37"/>
    <mergeCell ref="A38:E38"/>
    <mergeCell ref="A39:E39"/>
    <mergeCell ref="A40:E40"/>
    <mergeCell ref="A42:E42"/>
    <mergeCell ref="A32:E32"/>
    <mergeCell ref="A33:E33"/>
    <mergeCell ref="A34:F34"/>
    <mergeCell ref="A35:E35"/>
    <mergeCell ref="A36:E36"/>
    <mergeCell ref="A1:F1"/>
    <mergeCell ref="G1:H1"/>
    <mergeCell ref="A2:A3"/>
    <mergeCell ref="B2:F3"/>
    <mergeCell ref="G7:H7"/>
    <mergeCell ref="J42:L42"/>
    <mergeCell ref="J43:L43"/>
    <mergeCell ref="J44:L44"/>
    <mergeCell ref="B4:F4"/>
    <mergeCell ref="A5:B5"/>
    <mergeCell ref="C5:F5"/>
    <mergeCell ref="A6:H6"/>
    <mergeCell ref="G23:H25"/>
    <mergeCell ref="A26:F26"/>
    <mergeCell ref="H26:H42"/>
    <mergeCell ref="A27:E27"/>
    <mergeCell ref="A28:E28"/>
    <mergeCell ref="A29:E29"/>
    <mergeCell ref="A41:E41"/>
    <mergeCell ref="A30:E30"/>
    <mergeCell ref="A31:E31"/>
    <mergeCell ref="J49:L49"/>
    <mergeCell ref="J50:L50"/>
    <mergeCell ref="J47:L47"/>
    <mergeCell ref="J48:L48"/>
    <mergeCell ref="J45:L45"/>
    <mergeCell ref="J46:L46"/>
  </mergeCells>
  <pageMargins left="0.7" right="0.7" top="0.75" bottom="0.75" header="0.3" footer="0.3"/>
  <pageSetup scale="9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view="pageBreakPreview" zoomScale="55" zoomScaleSheetLayoutView="55" workbookViewId="0">
      <selection activeCell="E9" sqref="E9:R13"/>
    </sheetView>
  </sheetViews>
  <sheetFormatPr baseColWidth="10" defaultRowHeight="12.75"/>
  <cols>
    <col min="1" max="1" width="0.85546875" customWidth="1"/>
    <col min="2" max="2" width="10" customWidth="1"/>
    <col min="3" max="3" width="4.28515625" customWidth="1"/>
    <col min="4" max="4" width="7.42578125" customWidth="1"/>
    <col min="5" max="5" width="18.5703125" customWidth="1"/>
    <col min="6" max="6" width="16.42578125" customWidth="1"/>
    <col min="7" max="7" width="4.28515625" customWidth="1"/>
    <col min="8" max="8" width="4.7109375" customWidth="1"/>
    <col min="9" max="9" width="5.5703125" customWidth="1"/>
    <col min="10" max="10" width="2.28515625" customWidth="1"/>
    <col min="11" max="11" width="5.140625" customWidth="1"/>
    <col min="12" max="12" width="1.28515625" customWidth="1"/>
    <col min="13" max="13" width="4.28515625" customWidth="1"/>
    <col min="14" max="14" width="2.7109375" customWidth="1"/>
    <col min="15" max="15" width="6.5703125" customWidth="1"/>
    <col min="16" max="16" width="9.42578125" customWidth="1"/>
    <col min="17" max="17" width="10.5703125" customWidth="1"/>
    <col min="18" max="18" width="3.140625" customWidth="1"/>
    <col min="19" max="19" width="8" customWidth="1"/>
    <col min="20" max="20" width="10.42578125" customWidth="1"/>
    <col min="21" max="21" width="3" customWidth="1"/>
    <col min="22" max="22" width="6" customWidth="1"/>
    <col min="23" max="23" width="0.140625" customWidth="1"/>
    <col min="24" max="24" width="5" customWidth="1"/>
    <col min="25" max="25" width="4.5703125" customWidth="1"/>
    <col min="26" max="26" width="3.7109375" customWidth="1"/>
    <col min="27" max="27" width="9.42578125" customWidth="1"/>
    <col min="28" max="28" width="5" customWidth="1"/>
    <col min="29" max="29" width="5.140625" customWidth="1"/>
    <col min="30" max="30" width="8.140625" customWidth="1"/>
    <col min="31" max="31" width="3.5703125" customWidth="1"/>
    <col min="32" max="32" width="1" customWidth="1"/>
  </cols>
  <sheetData>
    <row r="1" spans="1:37" ht="22.15" customHeight="1"/>
    <row r="2" spans="1:37" ht="23.25" customHeight="1"/>
    <row r="3" spans="1:37" ht="22.15" customHeight="1"/>
    <row r="4" spans="1:37" ht="16.5" customHeight="1">
      <c r="AA4" s="547"/>
      <c r="AB4" s="548"/>
      <c r="AC4" s="548"/>
      <c r="AD4" s="548"/>
    </row>
    <row r="5" spans="1:37" ht="20.25" customHeight="1">
      <c r="Z5" s="59"/>
      <c r="AA5" s="548"/>
      <c r="AB5" s="548"/>
      <c r="AC5" s="548"/>
      <c r="AD5" s="548"/>
      <c r="AE5" s="59"/>
    </row>
    <row r="6" spans="1:37" ht="22.15" customHeight="1">
      <c r="B6" s="549" t="s">
        <v>15</v>
      </c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</row>
    <row r="7" spans="1:37" ht="22.15" customHeight="1">
      <c r="B7" s="483" t="s">
        <v>44</v>
      </c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</row>
    <row r="8" spans="1:37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7" ht="20.100000000000001" customHeight="1">
      <c r="A9" s="1"/>
      <c r="B9" s="571" t="s">
        <v>14</v>
      </c>
      <c r="C9" s="571"/>
      <c r="D9" s="571"/>
      <c r="E9" s="568" t="str">
        <f>'CALCULO SELLO CALIZO'!B2</f>
        <v>SAN LUIS DEL CORDERO - SAN PEDRO DEL GALLO</v>
      </c>
      <c r="F9" s="568"/>
      <c r="G9" s="568"/>
      <c r="H9" s="568"/>
      <c r="I9" s="568"/>
      <c r="J9" s="568"/>
      <c r="K9" s="568"/>
      <c r="L9" s="568"/>
      <c r="M9" s="568"/>
      <c r="N9" s="568"/>
      <c r="O9" s="568"/>
      <c r="P9" s="568"/>
      <c r="Q9" s="568"/>
      <c r="R9" s="56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1"/>
    </row>
    <row r="10" spans="1:37" ht="20.100000000000001" customHeight="1">
      <c r="A10" s="1"/>
      <c r="B10" s="571"/>
      <c r="C10" s="571"/>
      <c r="D10" s="571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" t="s">
        <v>0</v>
      </c>
      <c r="T10" s="5"/>
      <c r="U10" s="585">
        <f>'CALCULO MEZCLA FISICA'!H2</f>
        <v>636</v>
      </c>
      <c r="V10" s="488"/>
      <c r="W10" s="488"/>
      <c r="X10" s="488"/>
      <c r="Y10" s="488"/>
      <c r="Z10" s="488"/>
      <c r="AA10" s="488"/>
      <c r="AB10" s="488"/>
      <c r="AC10" s="488"/>
      <c r="AD10" s="488"/>
      <c r="AE10" s="6"/>
      <c r="AF10" s="1"/>
    </row>
    <row r="11" spans="1:37" ht="20.100000000000001" customHeight="1">
      <c r="A11" s="1"/>
      <c r="B11" s="571"/>
      <c r="C11" s="571"/>
      <c r="D11" s="571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" t="s">
        <v>1</v>
      </c>
      <c r="T11" s="5"/>
      <c r="U11" s="5"/>
      <c r="V11" s="7"/>
      <c r="W11" s="33" t="e">
        <f>#REF!</f>
        <v>#REF!</v>
      </c>
      <c r="X11" s="491">
        <f>'INFORME PETREO TEORICO'!X11:AD11</f>
        <v>42341</v>
      </c>
      <c r="Y11" s="491"/>
      <c r="Z11" s="491"/>
      <c r="AA11" s="491"/>
      <c r="AB11" s="491"/>
      <c r="AC11" s="491"/>
      <c r="AD11" s="491"/>
      <c r="AE11" s="6"/>
      <c r="AF11" s="1"/>
      <c r="AG11" s="1"/>
      <c r="AH11" s="1"/>
      <c r="AI11" s="1"/>
      <c r="AJ11" s="1"/>
      <c r="AK11" s="1"/>
    </row>
    <row r="12" spans="1:37" ht="20.100000000000001" customHeight="1">
      <c r="A12" s="1"/>
      <c r="B12" s="571"/>
      <c r="C12" s="571"/>
      <c r="D12" s="571"/>
      <c r="E12" s="568"/>
      <c r="F12" s="568"/>
      <c r="G12" s="568"/>
      <c r="H12" s="568"/>
      <c r="I12" s="568"/>
      <c r="J12" s="568"/>
      <c r="K12" s="568"/>
      <c r="L12" s="568"/>
      <c r="M12" s="568"/>
      <c r="N12" s="568"/>
      <c r="O12" s="568"/>
      <c r="P12" s="568"/>
      <c r="Q12" s="568"/>
      <c r="R12" s="568"/>
      <c r="S12" s="5" t="s">
        <v>2</v>
      </c>
      <c r="T12" s="5"/>
      <c r="U12" s="5"/>
      <c r="V12" s="489">
        <f>'INFORME PETREO TEORICO'!V12:AD12</f>
        <v>42345</v>
      </c>
      <c r="W12" s="490"/>
      <c r="X12" s="490"/>
      <c r="Y12" s="490"/>
      <c r="Z12" s="490"/>
      <c r="AA12" s="490"/>
      <c r="AB12" s="490"/>
      <c r="AC12" s="490"/>
      <c r="AD12" s="490"/>
      <c r="AE12" s="6"/>
      <c r="AF12" s="1"/>
      <c r="AG12" s="1"/>
      <c r="AH12" s="1"/>
      <c r="AI12" s="1"/>
      <c r="AJ12" s="1"/>
      <c r="AK12" s="1"/>
    </row>
    <row r="13" spans="1:37" ht="20.100000000000001" customHeight="1">
      <c r="A13" s="1"/>
      <c r="B13" s="571"/>
      <c r="C13" s="571"/>
      <c r="D13" s="571"/>
      <c r="E13" s="568"/>
      <c r="F13" s="568"/>
      <c r="G13" s="568"/>
      <c r="H13" s="568"/>
      <c r="I13" s="568"/>
      <c r="J13" s="568"/>
      <c r="K13" s="568"/>
      <c r="L13" s="568"/>
      <c r="M13" s="568"/>
      <c r="N13" s="568"/>
      <c r="O13" s="568"/>
      <c r="P13" s="568"/>
      <c r="Q13" s="568"/>
      <c r="R13" s="56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1"/>
      <c r="AG13" s="1"/>
      <c r="AH13" s="1"/>
      <c r="AI13" s="1"/>
      <c r="AJ13" s="1"/>
      <c r="AK13" s="1"/>
    </row>
    <row r="14" spans="1:37" ht="15" customHeight="1">
      <c r="A14" s="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1"/>
      <c r="AF14" s="1"/>
      <c r="AG14" s="1"/>
      <c r="AH14" s="1"/>
      <c r="AI14" s="1"/>
      <c r="AJ14" s="1"/>
      <c r="AK14" s="1"/>
    </row>
    <row r="15" spans="1:37" ht="28.9" customHeight="1">
      <c r="A15" s="1"/>
      <c r="B15" s="572" t="s">
        <v>3</v>
      </c>
      <c r="C15" s="573"/>
      <c r="D15" s="500" t="s">
        <v>4</v>
      </c>
      <c r="E15" s="500"/>
      <c r="F15" s="500"/>
      <c r="G15" s="501" t="s">
        <v>461</v>
      </c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10"/>
      <c r="X15" s="10" t="s">
        <v>5</v>
      </c>
      <c r="Y15" s="10"/>
      <c r="Z15" s="10"/>
      <c r="AA15" s="10"/>
      <c r="AB15" s="494" t="s">
        <v>50</v>
      </c>
      <c r="AC15" s="494"/>
      <c r="AD15" s="494"/>
      <c r="AE15" s="11"/>
      <c r="AF15" s="1"/>
      <c r="AG15" s="1"/>
      <c r="AH15" s="1"/>
      <c r="AI15" s="1"/>
      <c r="AJ15" s="1"/>
      <c r="AK15" s="1"/>
    </row>
    <row r="16" spans="1:37" ht="28.9" customHeight="1">
      <c r="A16" s="1"/>
      <c r="B16" s="574"/>
      <c r="C16" s="575"/>
      <c r="D16" s="540" t="s">
        <v>6</v>
      </c>
      <c r="E16" s="540"/>
      <c r="F16" s="540"/>
      <c r="G16" s="540"/>
      <c r="H16" s="540"/>
      <c r="I16" s="540"/>
      <c r="J16" s="495" t="str">
        <f>'INFORME PETREO TEORICO'!J16:AD16</f>
        <v>TRITURACION TOTAL</v>
      </c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6"/>
      <c r="AF16" s="1"/>
      <c r="AG16" s="1"/>
      <c r="AH16" s="1"/>
      <c r="AI16" s="1"/>
      <c r="AJ16" s="1"/>
      <c r="AK16" s="1"/>
    </row>
    <row r="17" spans="1:37" ht="28.9" customHeight="1">
      <c r="A17" s="1"/>
      <c r="B17" s="574"/>
      <c r="C17" s="575"/>
      <c r="D17" s="540" t="s">
        <v>7</v>
      </c>
      <c r="E17" s="540"/>
      <c r="F17" s="540"/>
      <c r="G17" s="540"/>
      <c r="H17" s="540"/>
      <c r="I17" s="495" t="s">
        <v>460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6"/>
      <c r="AF17" s="1"/>
      <c r="AG17" s="1"/>
      <c r="AH17" s="1"/>
      <c r="AI17" s="1"/>
      <c r="AJ17" s="1"/>
      <c r="AK17" s="1"/>
    </row>
    <row r="18" spans="1:37" ht="28.9" customHeight="1">
      <c r="A18" s="1"/>
      <c r="B18" s="576"/>
      <c r="C18" s="577"/>
      <c r="D18" s="558" t="s">
        <v>49</v>
      </c>
      <c r="E18" s="559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9" t="str">
        <f>'INFORME PETREO TEORICO'!P18:AE18</f>
        <v>PLANTA CRIBISA EN LERDO, DGO.</v>
      </c>
      <c r="Q18" s="559"/>
      <c r="R18" s="559"/>
      <c r="S18" s="559"/>
      <c r="T18" s="559"/>
      <c r="U18" s="559"/>
      <c r="V18" s="559"/>
      <c r="W18" s="559"/>
      <c r="X18" s="559"/>
      <c r="Y18" s="559"/>
      <c r="Z18" s="559"/>
      <c r="AA18" s="559"/>
      <c r="AB18" s="559"/>
      <c r="AC18" s="559"/>
      <c r="AD18" s="559"/>
      <c r="AE18" s="560"/>
      <c r="AF18" s="1"/>
      <c r="AG18" s="1"/>
      <c r="AH18" s="1"/>
      <c r="AI18" s="1"/>
      <c r="AJ18" s="1"/>
      <c r="AK18" s="1"/>
    </row>
    <row r="19" spans="1:37" ht="15" customHeight="1">
      <c r="A19" s="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1"/>
      <c r="AG19" s="1"/>
      <c r="AH19" s="1"/>
      <c r="AI19" s="1"/>
      <c r="AJ19" s="1"/>
      <c r="AK19" s="1"/>
    </row>
    <row r="20" spans="1:37" ht="28.5" customHeight="1">
      <c r="A20" s="1"/>
      <c r="B20" s="541" t="s">
        <v>48</v>
      </c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542"/>
      <c r="V20" s="542"/>
      <c r="W20" s="542"/>
      <c r="X20" s="542"/>
      <c r="Y20" s="542"/>
      <c r="Z20" s="542"/>
      <c r="AA20" s="542"/>
      <c r="AB20" s="542"/>
      <c r="AC20" s="542"/>
      <c r="AD20" s="542"/>
      <c r="AE20" s="543"/>
      <c r="AF20" s="1"/>
      <c r="AG20" s="1"/>
      <c r="AH20" s="1"/>
      <c r="AI20" s="1"/>
      <c r="AJ20" s="1"/>
      <c r="AK20" s="1"/>
    </row>
    <row r="21" spans="1:37" ht="34.5" customHeight="1">
      <c r="A21" s="1"/>
      <c r="B21" s="568" t="s">
        <v>8</v>
      </c>
      <c r="C21" s="568"/>
      <c r="D21" s="568"/>
      <c r="E21" s="568"/>
      <c r="F21" s="555" t="s">
        <v>32</v>
      </c>
      <c r="G21" s="556"/>
      <c r="H21" s="556"/>
      <c r="I21" s="556"/>
      <c r="J21" s="556"/>
      <c r="K21" s="557"/>
      <c r="L21" s="18"/>
      <c r="M21" s="1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11"/>
      <c r="AF21" s="1"/>
      <c r="AG21" s="1"/>
      <c r="AH21" s="1"/>
      <c r="AI21" s="1"/>
      <c r="AJ21" s="1"/>
      <c r="AK21" s="1"/>
    </row>
    <row r="22" spans="1:37" ht="41.25" customHeight="1">
      <c r="A22" s="1"/>
      <c r="B22" s="568"/>
      <c r="C22" s="568"/>
      <c r="D22" s="568"/>
      <c r="E22" s="568"/>
      <c r="F22" s="564" t="s">
        <v>440</v>
      </c>
      <c r="G22" s="565"/>
      <c r="H22" s="565"/>
      <c r="I22" s="565"/>
      <c r="J22" s="565"/>
      <c r="K22" s="566"/>
      <c r="L22" s="14"/>
      <c r="M22" s="544" t="s">
        <v>36</v>
      </c>
      <c r="N22" s="15"/>
      <c r="O22" s="6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6"/>
      <c r="AF22" s="1"/>
      <c r="AG22" s="1"/>
      <c r="AH22" s="1"/>
      <c r="AI22" s="1"/>
      <c r="AJ22" s="1"/>
      <c r="AK22" s="1"/>
    </row>
    <row r="23" spans="1:37" ht="20.100000000000001" customHeight="1">
      <c r="A23" s="1"/>
      <c r="B23" s="561" t="s">
        <v>52</v>
      </c>
      <c r="C23" s="562"/>
      <c r="D23" s="562"/>
      <c r="E23" s="563"/>
      <c r="F23" s="564">
        <f>'CALCULO MEZCLA FISICA'!H11</f>
        <v>1646.8934911242602</v>
      </c>
      <c r="G23" s="565"/>
      <c r="H23" s="565"/>
      <c r="I23" s="565"/>
      <c r="J23" s="565"/>
      <c r="K23" s="566"/>
      <c r="L23" s="14"/>
      <c r="M23" s="544"/>
      <c r="N23" s="15"/>
      <c r="O23" s="6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6"/>
      <c r="AF23" s="1"/>
      <c r="AG23" s="1"/>
      <c r="AH23" s="1"/>
      <c r="AI23" s="1"/>
      <c r="AJ23" s="1"/>
      <c r="AK23" s="1"/>
    </row>
    <row r="24" spans="1:37" ht="21" customHeight="1">
      <c r="A24" s="1"/>
      <c r="B24" s="569" t="s">
        <v>16</v>
      </c>
      <c r="C24" s="569"/>
      <c r="D24" s="570" t="s">
        <v>17</v>
      </c>
      <c r="E24" s="570"/>
      <c r="F24" s="564" t="s">
        <v>33</v>
      </c>
      <c r="G24" s="565"/>
      <c r="H24" s="565"/>
      <c r="I24" s="565"/>
      <c r="J24" s="565"/>
      <c r="K24" s="566"/>
      <c r="L24" s="14"/>
      <c r="M24" s="544"/>
      <c r="N24" s="15"/>
      <c r="O24" s="336">
        <v>25</v>
      </c>
      <c r="P24" s="15">
        <v>0</v>
      </c>
      <c r="Q24" s="15">
        <v>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6"/>
      <c r="AF24" s="1"/>
      <c r="AG24" s="1"/>
      <c r="AH24" s="1"/>
      <c r="AI24" s="1"/>
      <c r="AJ24" s="1"/>
      <c r="AK24" s="1"/>
    </row>
    <row r="25" spans="1:37" ht="21" customHeight="1">
      <c r="A25" s="1"/>
      <c r="B25" s="569"/>
      <c r="C25" s="569"/>
      <c r="D25" s="570"/>
      <c r="E25" s="570"/>
      <c r="F25" s="125" t="s">
        <v>34</v>
      </c>
      <c r="G25" s="567" t="s">
        <v>35</v>
      </c>
      <c r="H25" s="567"/>
      <c r="I25" s="567"/>
      <c r="J25" s="567"/>
      <c r="K25" s="567"/>
      <c r="L25" s="14"/>
      <c r="M25" s="544"/>
      <c r="N25" s="15"/>
      <c r="O25" s="336">
        <v>50</v>
      </c>
      <c r="P25" s="15">
        <v>0</v>
      </c>
      <c r="Q25" s="15">
        <v>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6"/>
      <c r="AF25" s="1"/>
      <c r="AG25" s="1"/>
      <c r="AH25" s="1"/>
      <c r="AI25" s="1"/>
      <c r="AJ25" s="1"/>
      <c r="AK25" s="1"/>
    </row>
    <row r="26" spans="1:37" ht="21" customHeight="1">
      <c r="A26" s="1"/>
      <c r="B26" s="554">
        <v>50</v>
      </c>
      <c r="C26" s="554"/>
      <c r="D26" s="499" t="s">
        <v>18</v>
      </c>
      <c r="E26" s="499"/>
      <c r="F26" s="58">
        <f>'CALCULO POLVILLO ARENAS'!F10</f>
        <v>100</v>
      </c>
      <c r="G26" s="496">
        <v>100</v>
      </c>
      <c r="H26" s="497"/>
      <c r="I26" s="497"/>
      <c r="J26" s="497"/>
      <c r="K26" s="498"/>
      <c r="L26" s="14"/>
      <c r="M26" s="544"/>
      <c r="N26" s="15"/>
      <c r="O26" s="336">
        <v>37.5</v>
      </c>
      <c r="P26" s="15">
        <v>0</v>
      </c>
      <c r="Q26" s="15">
        <v>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6"/>
      <c r="AF26" s="1"/>
      <c r="AG26" s="1"/>
      <c r="AH26" s="1"/>
      <c r="AI26" s="1"/>
      <c r="AJ26" s="1"/>
      <c r="AK26" s="1"/>
    </row>
    <row r="27" spans="1:37" ht="21" customHeight="1">
      <c r="A27" s="1"/>
      <c r="B27" s="554">
        <v>37.5</v>
      </c>
      <c r="C27" s="554"/>
      <c r="D27" s="499" t="s">
        <v>19</v>
      </c>
      <c r="E27" s="499"/>
      <c r="F27" s="58">
        <f>'CALCULO POLVILLO ARENAS'!F11</f>
        <v>100</v>
      </c>
      <c r="G27" s="496">
        <v>100</v>
      </c>
      <c r="H27" s="497"/>
      <c r="I27" s="497"/>
      <c r="J27" s="497"/>
      <c r="K27" s="498"/>
      <c r="L27" s="14"/>
      <c r="M27" s="544"/>
      <c r="N27" s="15"/>
      <c r="O27" s="336">
        <v>25</v>
      </c>
      <c r="P27" s="15">
        <v>100</v>
      </c>
      <c r="Q27" s="15">
        <v>100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6"/>
      <c r="AF27" s="1"/>
      <c r="AG27" s="1"/>
      <c r="AH27" s="1"/>
      <c r="AI27" s="1"/>
      <c r="AJ27" s="1"/>
      <c r="AK27" s="1"/>
    </row>
    <row r="28" spans="1:37" ht="21" customHeight="1">
      <c r="A28" s="1"/>
      <c r="B28" s="545">
        <v>25</v>
      </c>
      <c r="C28" s="545"/>
      <c r="D28" s="505" t="s">
        <v>20</v>
      </c>
      <c r="E28" s="505"/>
      <c r="F28" s="58">
        <f>'CALCULO MEZCLA FISICA'!F12</f>
        <v>100</v>
      </c>
      <c r="G28" s="502"/>
      <c r="H28" s="503"/>
      <c r="I28" s="503"/>
      <c r="J28" s="503"/>
      <c r="K28" s="504"/>
      <c r="L28" s="14"/>
      <c r="M28" s="544"/>
      <c r="N28" s="15"/>
      <c r="O28" s="336">
        <v>19</v>
      </c>
      <c r="P28" s="15">
        <v>100</v>
      </c>
      <c r="Q28" s="15">
        <v>100</v>
      </c>
      <c r="R28" s="15"/>
      <c r="S28" s="17"/>
      <c r="T28" s="15"/>
      <c r="U28" s="15"/>
      <c r="V28" s="15"/>
      <c r="W28" s="15"/>
      <c r="X28" s="307">
        <v>0.25</v>
      </c>
      <c r="Y28" s="15"/>
      <c r="Z28" s="15"/>
      <c r="AA28" s="15"/>
      <c r="AB28" s="15"/>
      <c r="AC28" s="15"/>
      <c r="AD28" s="15"/>
      <c r="AE28" s="6"/>
      <c r="AF28" s="1"/>
      <c r="AG28" s="1"/>
      <c r="AH28" s="1"/>
      <c r="AI28" s="1"/>
      <c r="AJ28" s="1"/>
      <c r="AK28" s="1"/>
    </row>
    <row r="29" spans="1:37" ht="21.6" customHeight="1">
      <c r="A29" s="1"/>
      <c r="B29" s="545">
        <v>19</v>
      </c>
      <c r="C29" s="545"/>
      <c r="D29" s="505" t="s">
        <v>21</v>
      </c>
      <c r="E29" s="505"/>
      <c r="F29" s="58">
        <f>'CALCULO MEZCLA FISICA'!F13</f>
        <v>100</v>
      </c>
      <c r="G29" s="502"/>
      <c r="H29" s="503"/>
      <c r="I29" s="503"/>
      <c r="J29" s="503"/>
      <c r="K29" s="504"/>
      <c r="L29" s="14"/>
      <c r="M29" s="544"/>
      <c r="N29" s="15"/>
      <c r="O29" s="336">
        <v>12.5</v>
      </c>
      <c r="P29" s="15">
        <v>100</v>
      </c>
      <c r="Q29" s="15">
        <v>100</v>
      </c>
      <c r="R29" s="15"/>
      <c r="S29" s="17"/>
      <c r="T29" s="15"/>
      <c r="U29" s="15"/>
      <c r="V29" s="15"/>
      <c r="W29" s="15"/>
      <c r="X29" s="307">
        <v>0.375</v>
      </c>
      <c r="Y29" s="15"/>
      <c r="Z29" s="15"/>
      <c r="AA29" s="15"/>
      <c r="AB29" s="15"/>
      <c r="AC29" s="15"/>
      <c r="AD29" s="15"/>
      <c r="AE29" s="6"/>
      <c r="AF29" s="1"/>
      <c r="AG29" s="1"/>
      <c r="AH29" s="1"/>
      <c r="AI29" s="1"/>
      <c r="AJ29" s="1"/>
      <c r="AK29" s="1"/>
    </row>
    <row r="30" spans="1:37" ht="21.6" customHeight="1">
      <c r="A30" s="1"/>
      <c r="B30" s="545">
        <v>12.5</v>
      </c>
      <c r="C30" s="545"/>
      <c r="D30" s="505" t="s">
        <v>22</v>
      </c>
      <c r="E30" s="505"/>
      <c r="F30" s="58">
        <f>'CALCULO MEZCLA FISICA'!F14</f>
        <v>100</v>
      </c>
      <c r="G30" s="502">
        <v>100</v>
      </c>
      <c r="H30" s="503"/>
      <c r="I30" s="503"/>
      <c r="J30" s="503"/>
      <c r="K30" s="504"/>
      <c r="L30" s="14"/>
      <c r="M30" s="544"/>
      <c r="N30" s="15"/>
      <c r="O30" s="336">
        <v>9.5</v>
      </c>
      <c r="P30" s="15">
        <v>90</v>
      </c>
      <c r="Q30" s="15">
        <v>100</v>
      </c>
      <c r="R30" s="15"/>
      <c r="S30" s="17"/>
      <c r="T30" s="15"/>
      <c r="U30" s="15"/>
      <c r="V30" s="15"/>
      <c r="W30" s="15"/>
      <c r="X30" s="307">
        <v>0.5</v>
      </c>
      <c r="Y30" s="15"/>
      <c r="Z30" s="15"/>
      <c r="AA30" s="15"/>
      <c r="AB30" s="15"/>
      <c r="AC30" s="15"/>
      <c r="AD30" s="15"/>
      <c r="AE30" s="6"/>
      <c r="AF30" s="1"/>
      <c r="AG30" s="1"/>
      <c r="AH30" s="1"/>
      <c r="AI30" s="1"/>
      <c r="AJ30" s="1"/>
      <c r="AK30" s="1"/>
    </row>
    <row r="31" spans="1:37" ht="21.6" customHeight="1">
      <c r="A31" s="1"/>
      <c r="B31" s="545">
        <v>9.5</v>
      </c>
      <c r="C31" s="545"/>
      <c r="D31" s="505" t="s">
        <v>23</v>
      </c>
      <c r="E31" s="505"/>
      <c r="F31" s="44">
        <f>'CALCULO MEZCLA FISICA'!F15</f>
        <v>99.646814460536859</v>
      </c>
      <c r="G31" s="502" t="s">
        <v>9</v>
      </c>
      <c r="H31" s="503"/>
      <c r="I31" s="503"/>
      <c r="J31" s="503"/>
      <c r="K31" s="504"/>
      <c r="L31" s="14"/>
      <c r="M31" s="544"/>
      <c r="N31" s="15"/>
      <c r="O31" s="336">
        <v>6.3</v>
      </c>
      <c r="P31" s="15">
        <v>70</v>
      </c>
      <c r="Q31" s="15">
        <v>81</v>
      </c>
      <c r="R31" s="15"/>
      <c r="S31" s="17"/>
      <c r="T31" s="15"/>
      <c r="U31" s="15"/>
      <c r="V31" s="15"/>
      <c r="W31" s="15"/>
      <c r="X31" s="307">
        <v>0.75</v>
      </c>
      <c r="Y31" s="15"/>
      <c r="Z31" s="15"/>
      <c r="AA31" s="15"/>
      <c r="AB31" s="15"/>
      <c r="AC31" s="15"/>
      <c r="AD31" s="15"/>
      <c r="AE31" s="6"/>
      <c r="AF31" s="1"/>
      <c r="AG31" s="1"/>
      <c r="AH31" s="1"/>
      <c r="AI31" s="1"/>
      <c r="AJ31" s="1"/>
      <c r="AK31" s="1"/>
    </row>
    <row r="32" spans="1:37" ht="21.6" customHeight="1">
      <c r="A32" s="1"/>
      <c r="B32" s="545">
        <v>6.3</v>
      </c>
      <c r="C32" s="545"/>
      <c r="D32" s="505" t="s">
        <v>24</v>
      </c>
      <c r="E32" s="505"/>
      <c r="F32" s="44">
        <f>'CALCULO MEZCLA FISICA'!F16</f>
        <v>80.227717570710553</v>
      </c>
      <c r="G32" s="502" t="s">
        <v>431</v>
      </c>
      <c r="H32" s="503"/>
      <c r="I32" s="503"/>
      <c r="J32" s="503"/>
      <c r="K32" s="504"/>
      <c r="L32" s="14"/>
      <c r="M32" s="544"/>
      <c r="N32" s="15"/>
      <c r="O32" s="336">
        <v>4.75</v>
      </c>
      <c r="P32" s="15">
        <v>56</v>
      </c>
      <c r="Q32" s="15">
        <v>69</v>
      </c>
      <c r="R32" s="15"/>
      <c r="S32" s="17"/>
      <c r="T32" s="15"/>
      <c r="U32" s="15"/>
      <c r="V32" s="15"/>
      <c r="W32" s="15"/>
      <c r="X32" s="307">
        <v>4</v>
      </c>
      <c r="Y32" s="15"/>
      <c r="Z32" s="15"/>
      <c r="AA32" s="15"/>
      <c r="AB32" s="15"/>
      <c r="AC32" s="15"/>
      <c r="AD32" s="15"/>
      <c r="AE32" s="6"/>
      <c r="AF32" s="1"/>
      <c r="AG32" s="1"/>
      <c r="AH32" s="1"/>
      <c r="AI32" s="1"/>
      <c r="AJ32" s="1"/>
      <c r="AK32" s="1"/>
    </row>
    <row r="33" spans="1:37" ht="21.6" customHeight="1">
      <c r="A33" s="1"/>
      <c r="B33" s="545">
        <v>4.75</v>
      </c>
      <c r="C33" s="545"/>
      <c r="D33" s="505" t="s">
        <v>25</v>
      </c>
      <c r="E33" s="505"/>
      <c r="F33" s="44">
        <f>'CALCULO MEZCLA FISICA'!F17</f>
        <v>68.200780629019334</v>
      </c>
      <c r="G33" s="502" t="s">
        <v>432</v>
      </c>
      <c r="H33" s="503"/>
      <c r="I33" s="503"/>
      <c r="J33" s="503"/>
      <c r="K33" s="504"/>
      <c r="L33" s="14"/>
      <c r="M33" s="544"/>
      <c r="N33" s="15"/>
      <c r="O33" s="336">
        <v>2</v>
      </c>
      <c r="P33" s="15">
        <v>28</v>
      </c>
      <c r="Q33" s="15">
        <v>42</v>
      </c>
      <c r="R33" s="15"/>
      <c r="S33" s="17"/>
      <c r="T33" s="15"/>
      <c r="U33" s="15"/>
      <c r="V33" s="15"/>
      <c r="W33" s="15"/>
      <c r="X33" s="307">
        <v>10</v>
      </c>
      <c r="Y33" s="15"/>
      <c r="Z33" s="15"/>
      <c r="AA33" s="15"/>
      <c r="AB33" s="15"/>
      <c r="AC33" s="15"/>
      <c r="AD33" s="15"/>
      <c r="AE33" s="6"/>
      <c r="AF33" s="1"/>
      <c r="AG33" s="1"/>
      <c r="AH33" s="1"/>
      <c r="AI33" s="1"/>
      <c r="AJ33" s="1"/>
      <c r="AK33" s="1"/>
    </row>
    <row r="34" spans="1:37" ht="21.6" customHeight="1">
      <c r="A34" s="1"/>
      <c r="B34" s="545">
        <v>2</v>
      </c>
      <c r="C34" s="545"/>
      <c r="D34" s="505" t="s">
        <v>26</v>
      </c>
      <c r="E34" s="505"/>
      <c r="F34" s="44">
        <f>'CALCULO MEZCLA FISICA'!F18</f>
        <v>37.359673314639217</v>
      </c>
      <c r="G34" s="502" t="s">
        <v>433</v>
      </c>
      <c r="H34" s="503"/>
      <c r="I34" s="503"/>
      <c r="J34" s="503"/>
      <c r="K34" s="504"/>
      <c r="L34" s="14"/>
      <c r="M34" s="544"/>
      <c r="N34" s="15"/>
      <c r="O34" s="336">
        <v>0.85</v>
      </c>
      <c r="P34" s="15">
        <v>18</v>
      </c>
      <c r="Q34" s="15">
        <v>27</v>
      </c>
      <c r="R34" s="15"/>
      <c r="S34" s="17"/>
      <c r="T34" s="15"/>
      <c r="U34" s="15"/>
      <c r="V34" s="15"/>
      <c r="W34" s="15"/>
      <c r="X34" s="307">
        <v>20</v>
      </c>
      <c r="Y34" s="15"/>
      <c r="Z34" s="15"/>
      <c r="AA34" s="15"/>
      <c r="AB34" s="15"/>
      <c r="AC34" s="15"/>
      <c r="AD34" s="15"/>
      <c r="AE34" s="6"/>
      <c r="AF34" s="1"/>
      <c r="AG34" s="1"/>
      <c r="AH34" s="1"/>
      <c r="AI34" s="1"/>
      <c r="AJ34" s="1"/>
      <c r="AK34" s="1"/>
    </row>
    <row r="35" spans="1:37" ht="21.6" customHeight="1">
      <c r="A35" s="1"/>
      <c r="B35" s="545">
        <v>0.85</v>
      </c>
      <c r="C35" s="545"/>
      <c r="D35" s="505" t="s">
        <v>27</v>
      </c>
      <c r="E35" s="505"/>
      <c r="F35" s="44">
        <f>'CALCULO MEZCLA FISICA'!F19</f>
        <v>23.214434955771178</v>
      </c>
      <c r="G35" s="502" t="s">
        <v>434</v>
      </c>
      <c r="H35" s="503"/>
      <c r="I35" s="503"/>
      <c r="J35" s="503"/>
      <c r="K35" s="504"/>
      <c r="L35" s="14"/>
      <c r="M35" s="544"/>
      <c r="N35" s="15"/>
      <c r="O35" s="336">
        <v>0.42499999999999999</v>
      </c>
      <c r="P35" s="15">
        <v>13</v>
      </c>
      <c r="Q35" s="15">
        <v>20</v>
      </c>
      <c r="R35" s="15"/>
      <c r="S35" s="17"/>
      <c r="T35" s="15"/>
      <c r="U35" s="15"/>
      <c r="V35" s="15"/>
      <c r="W35" s="15"/>
      <c r="X35" s="307">
        <v>40</v>
      </c>
      <c r="Y35" s="15"/>
      <c r="Z35" s="15"/>
      <c r="AA35" s="15"/>
      <c r="AB35" s="15"/>
      <c r="AC35" s="15"/>
      <c r="AD35" s="15"/>
      <c r="AE35" s="6"/>
      <c r="AF35" s="1"/>
      <c r="AG35" s="1"/>
      <c r="AH35" s="1"/>
      <c r="AI35" s="1"/>
      <c r="AJ35" s="1"/>
      <c r="AK35" s="1"/>
    </row>
    <row r="36" spans="1:37" ht="21.6" customHeight="1">
      <c r="A36" s="1"/>
      <c r="B36" s="545">
        <v>0.42499999999999999</v>
      </c>
      <c r="C36" s="545"/>
      <c r="D36" s="505" t="s">
        <v>28</v>
      </c>
      <c r="E36" s="505"/>
      <c r="F36" s="44">
        <f>'CALCULO MEZCLA FISICA'!F20</f>
        <v>14.762535511647789</v>
      </c>
      <c r="G36" s="502" t="s">
        <v>435</v>
      </c>
      <c r="H36" s="503"/>
      <c r="I36" s="503"/>
      <c r="J36" s="503"/>
      <c r="K36" s="504"/>
      <c r="L36" s="14"/>
      <c r="M36" s="544"/>
      <c r="N36" s="15"/>
      <c r="O36" s="336">
        <v>0.25</v>
      </c>
      <c r="P36" s="15">
        <v>10</v>
      </c>
      <c r="Q36" s="15">
        <v>15</v>
      </c>
      <c r="R36" s="15"/>
      <c r="S36" s="17"/>
      <c r="T36" s="15"/>
      <c r="U36" s="15"/>
      <c r="V36" s="15"/>
      <c r="W36" s="15"/>
      <c r="X36" s="307">
        <v>60</v>
      </c>
      <c r="Y36" s="15"/>
      <c r="Z36" s="15"/>
      <c r="AA36" s="15"/>
      <c r="AB36" s="15"/>
      <c r="AC36" s="15"/>
      <c r="AD36" s="15"/>
      <c r="AE36" s="6"/>
      <c r="AF36" s="1"/>
      <c r="AG36" s="1"/>
      <c r="AH36" s="1"/>
      <c r="AI36" s="1"/>
      <c r="AJ36" s="1"/>
      <c r="AK36" s="1"/>
    </row>
    <row r="37" spans="1:37" ht="21.6" customHeight="1">
      <c r="A37" s="1"/>
      <c r="B37" s="545">
        <v>0.25</v>
      </c>
      <c r="C37" s="545"/>
      <c r="D37" s="505" t="s">
        <v>29</v>
      </c>
      <c r="E37" s="505"/>
      <c r="F37" s="44">
        <f>'CALCULO MEZCLA FISICA'!F21</f>
        <v>10.559172821495666</v>
      </c>
      <c r="G37" s="502" t="s">
        <v>436</v>
      </c>
      <c r="H37" s="503"/>
      <c r="I37" s="503"/>
      <c r="J37" s="503"/>
      <c r="K37" s="504"/>
      <c r="L37" s="14"/>
      <c r="M37" s="544"/>
      <c r="N37" s="15"/>
      <c r="O37" s="336">
        <v>0.15</v>
      </c>
      <c r="P37" s="15">
        <v>6</v>
      </c>
      <c r="Q37" s="15">
        <v>12</v>
      </c>
      <c r="R37" s="15"/>
      <c r="S37" s="17"/>
      <c r="T37" s="15"/>
      <c r="U37" s="15"/>
      <c r="V37" s="15"/>
      <c r="W37" s="15"/>
      <c r="X37" s="307">
        <v>100</v>
      </c>
      <c r="Y37" s="15"/>
      <c r="Z37" s="15"/>
      <c r="AA37" s="15"/>
      <c r="AB37" s="15"/>
      <c r="AC37" s="15"/>
      <c r="AD37" s="15"/>
      <c r="AE37" s="6"/>
      <c r="AF37" s="1"/>
      <c r="AG37" s="1"/>
      <c r="AH37" s="1"/>
      <c r="AI37" s="1"/>
      <c r="AJ37" s="1"/>
      <c r="AK37" s="1"/>
    </row>
    <row r="38" spans="1:37" ht="21.6" customHeight="1">
      <c r="A38" s="1"/>
      <c r="B38" s="545">
        <v>0.15</v>
      </c>
      <c r="C38" s="545"/>
      <c r="D38" s="505" t="s">
        <v>30</v>
      </c>
      <c r="E38" s="505"/>
      <c r="F38" s="44">
        <f>'CALCULO MEZCLA FISICA'!F22</f>
        <v>8.7076916365477075</v>
      </c>
      <c r="G38" s="502" t="s">
        <v>437</v>
      </c>
      <c r="H38" s="503"/>
      <c r="I38" s="503"/>
      <c r="J38" s="503"/>
      <c r="K38" s="504"/>
      <c r="L38" s="14"/>
      <c r="M38" s="544"/>
      <c r="N38" s="15"/>
      <c r="O38" s="336">
        <v>7.4999999999999997E-2</v>
      </c>
      <c r="P38" s="15">
        <v>2</v>
      </c>
      <c r="Q38" s="15">
        <v>7</v>
      </c>
      <c r="R38" s="15"/>
      <c r="S38" s="17"/>
      <c r="T38" s="15"/>
      <c r="U38" s="15"/>
      <c r="V38" s="15"/>
      <c r="W38" s="15"/>
      <c r="X38" s="307">
        <v>200</v>
      </c>
      <c r="Y38" s="15"/>
      <c r="Z38" s="15"/>
      <c r="AA38" s="15"/>
      <c r="AB38" s="15"/>
      <c r="AC38" s="15"/>
      <c r="AD38" s="15"/>
      <c r="AE38" s="6"/>
      <c r="AF38" s="1"/>
      <c r="AG38" s="1"/>
      <c r="AH38" s="1"/>
      <c r="AI38" s="1"/>
      <c r="AJ38" s="1"/>
      <c r="AK38" s="1"/>
    </row>
    <row r="39" spans="1:37" ht="20.45" customHeight="1">
      <c r="A39" s="1"/>
      <c r="B39" s="546">
        <v>7.4999999999999997E-2</v>
      </c>
      <c r="C39" s="546"/>
      <c r="D39" s="487" t="s">
        <v>31</v>
      </c>
      <c r="E39" s="487"/>
      <c r="F39" s="44">
        <f>'CALCULO MEZCLA FISICA'!F23</f>
        <v>6.2657380736974275</v>
      </c>
      <c r="G39" s="502" t="s">
        <v>438</v>
      </c>
      <c r="H39" s="503"/>
      <c r="I39" s="503"/>
      <c r="J39" s="503"/>
      <c r="K39" s="504"/>
      <c r="L39" s="14"/>
      <c r="M39" s="544"/>
      <c r="N39" s="61"/>
      <c r="O39" s="61"/>
      <c r="P39" s="550" t="s">
        <v>37</v>
      </c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  <c r="AB39" s="550"/>
      <c r="AC39" s="550"/>
      <c r="AD39" s="36"/>
      <c r="AE39" s="6"/>
      <c r="AF39" s="1"/>
      <c r="AG39" s="1"/>
      <c r="AH39" s="1"/>
      <c r="AI39" s="1"/>
      <c r="AJ39" s="1"/>
      <c r="AK39" s="1"/>
    </row>
    <row r="40" spans="1:37" ht="15" customHeight="1">
      <c r="A40" s="1"/>
      <c r="B40" s="43"/>
      <c r="C40" s="43"/>
      <c r="D40" s="35"/>
      <c r="E40" s="35"/>
      <c r="F40" s="45"/>
      <c r="G40" s="37"/>
      <c r="H40" s="37"/>
      <c r="I40" s="37"/>
      <c r="J40" s="37"/>
      <c r="K40" s="37"/>
      <c r="L40" s="41"/>
      <c r="M40" s="41"/>
      <c r="N40" s="41"/>
      <c r="O40" s="41"/>
      <c r="P40" s="46"/>
      <c r="Q40" s="41"/>
      <c r="R40" s="41"/>
      <c r="S40" s="41"/>
      <c r="T40" s="41"/>
      <c r="U40" s="41"/>
      <c r="V40" s="41"/>
      <c r="W40" s="41"/>
      <c r="X40" s="41"/>
      <c r="Y40" s="16"/>
      <c r="Z40" s="16"/>
      <c r="AA40" s="16"/>
      <c r="AB40" s="16"/>
      <c r="AC40" s="16"/>
      <c r="AD40" s="16"/>
      <c r="AE40" s="16"/>
      <c r="AF40" s="1"/>
      <c r="AG40" s="1"/>
      <c r="AH40" s="1"/>
      <c r="AI40" s="1"/>
      <c r="AJ40" s="1"/>
      <c r="AK40" s="1"/>
    </row>
    <row r="41" spans="1:37" ht="27.75" customHeight="1">
      <c r="A41" s="1"/>
      <c r="B41" s="2"/>
      <c r="C41" s="54"/>
      <c r="D41" s="552" t="s">
        <v>38</v>
      </c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47"/>
      <c r="Z41" s="38"/>
      <c r="AA41" s="38"/>
      <c r="AB41" s="38"/>
      <c r="AC41" s="38"/>
      <c r="AD41" s="38"/>
      <c r="AE41" s="38"/>
      <c r="AF41" s="1"/>
      <c r="AG41" s="1"/>
      <c r="AH41" s="1"/>
      <c r="AI41" s="1"/>
      <c r="AJ41" s="1"/>
      <c r="AK41" s="1"/>
    </row>
    <row r="42" spans="1:37" ht="21" customHeight="1">
      <c r="A42" s="1"/>
      <c r="B42" s="48"/>
      <c r="C42" s="48"/>
      <c r="D42" s="486" t="s">
        <v>45</v>
      </c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5" t="s">
        <v>34</v>
      </c>
      <c r="R42" s="485"/>
      <c r="S42" s="485"/>
      <c r="T42" s="485" t="s">
        <v>47</v>
      </c>
      <c r="U42" s="485"/>
      <c r="V42" s="485"/>
      <c r="W42" s="485"/>
      <c r="X42" s="485"/>
      <c r="Y42" s="48"/>
      <c r="Z42" s="48"/>
      <c r="AA42" s="48"/>
      <c r="AB42" s="48"/>
      <c r="AC42" s="48"/>
      <c r="AD42" s="48"/>
      <c r="AE42" s="48"/>
      <c r="AF42" s="1"/>
      <c r="AG42" s="1"/>
      <c r="AH42" s="1"/>
      <c r="AI42" s="1"/>
      <c r="AJ42" s="1"/>
      <c r="AK42" s="1"/>
    </row>
    <row r="43" spans="1:37" ht="20.45" customHeight="1">
      <c r="A43" s="1"/>
      <c r="B43" s="38"/>
      <c r="C43" s="38"/>
      <c r="D43" s="551" t="s">
        <v>39</v>
      </c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484">
        <f>'CALCULO MEZCLA FISICA'!G32</f>
        <v>2.6370183651422403</v>
      </c>
      <c r="R43" s="484"/>
      <c r="S43" s="484"/>
      <c r="T43" s="485">
        <v>2.4</v>
      </c>
      <c r="U43" s="485"/>
      <c r="V43" s="485"/>
      <c r="W43" s="485"/>
      <c r="X43" s="485"/>
      <c r="Y43" s="24"/>
      <c r="Z43" s="24"/>
      <c r="AA43" s="24"/>
      <c r="AB43" s="24"/>
      <c r="AC43" s="24"/>
      <c r="AD43" s="24"/>
      <c r="AE43" s="24"/>
      <c r="AF43" s="1"/>
      <c r="AG43" s="1"/>
      <c r="AH43" s="1"/>
      <c r="AI43" s="1"/>
      <c r="AJ43" s="1"/>
      <c r="AK43" s="1"/>
    </row>
    <row r="44" spans="1:37" ht="20.45" customHeight="1">
      <c r="A44" s="1"/>
      <c r="B44" s="2"/>
      <c r="C44" s="38"/>
      <c r="D44" s="539" t="s">
        <v>40</v>
      </c>
      <c r="E44" s="539"/>
      <c r="F44" s="539"/>
      <c r="G44" s="539"/>
      <c r="H44" s="539"/>
      <c r="I44" s="539"/>
      <c r="J44" s="539"/>
      <c r="K44" s="539"/>
      <c r="L44" s="539"/>
      <c r="M44" s="539"/>
      <c r="N44" s="539"/>
      <c r="O44" s="539"/>
      <c r="P44" s="539"/>
      <c r="Q44" s="584">
        <f>'CALCULO MEZCLA FISICA'!H48</f>
        <v>20.399999999999999</v>
      </c>
      <c r="R44" s="584"/>
      <c r="S44" s="584"/>
      <c r="T44" s="485">
        <v>30</v>
      </c>
      <c r="U44" s="485"/>
      <c r="V44" s="485"/>
      <c r="W44" s="485"/>
      <c r="X44" s="485"/>
      <c r="Y44" s="24"/>
      <c r="Z44" s="24"/>
      <c r="AA44" s="24"/>
      <c r="AB44" s="24"/>
      <c r="AC44" s="24"/>
      <c r="AD44" s="24"/>
      <c r="AE44" s="24"/>
      <c r="AF44" s="1"/>
      <c r="AG44" s="1"/>
      <c r="AH44" s="1"/>
      <c r="AI44" s="1"/>
      <c r="AJ44" s="1"/>
      <c r="AK44" s="1"/>
    </row>
    <row r="45" spans="1:37" ht="20.45" customHeight="1">
      <c r="A45" s="1"/>
      <c r="B45" s="38"/>
      <c r="C45" s="38"/>
      <c r="D45" s="539" t="s">
        <v>41</v>
      </c>
      <c r="E45" s="539"/>
      <c r="F45" s="539"/>
      <c r="G45" s="539"/>
      <c r="H45" s="539"/>
      <c r="I45" s="539"/>
      <c r="J45" s="539"/>
      <c r="K45" s="539"/>
      <c r="L45" s="539"/>
      <c r="M45" s="539"/>
      <c r="N45" s="539"/>
      <c r="O45" s="539"/>
      <c r="P45" s="539"/>
      <c r="Q45" s="526">
        <f>'CALCULO MEZCLA FISICA'!E50</f>
        <v>23.1</v>
      </c>
      <c r="R45" s="526"/>
      <c r="S45" s="526"/>
      <c r="T45" s="485">
        <v>35</v>
      </c>
      <c r="U45" s="485"/>
      <c r="V45" s="485"/>
      <c r="W45" s="485"/>
      <c r="X45" s="485"/>
      <c r="Y45" s="24"/>
      <c r="Z45" s="24"/>
      <c r="AA45" s="24"/>
      <c r="AB45" s="24"/>
      <c r="AC45" s="24"/>
      <c r="AD45" s="24"/>
      <c r="AE45" s="24"/>
      <c r="AF45" s="1"/>
      <c r="AG45" s="1"/>
      <c r="AH45" s="1"/>
      <c r="AI45" s="1"/>
      <c r="AJ45" s="1"/>
      <c r="AK45" s="1"/>
    </row>
    <row r="46" spans="1:37" ht="20.45" customHeight="1">
      <c r="A46" s="1"/>
      <c r="B46" s="38"/>
      <c r="C46" s="38"/>
      <c r="D46" s="539" t="s">
        <v>42</v>
      </c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84">
        <f>'CALCULO MEZCLA FISICA'!H57</f>
        <v>64</v>
      </c>
      <c r="R46" s="584"/>
      <c r="S46" s="584"/>
      <c r="T46" s="485">
        <v>50</v>
      </c>
      <c r="U46" s="485"/>
      <c r="V46" s="485"/>
      <c r="W46" s="485"/>
      <c r="X46" s="485"/>
      <c r="Y46" s="24"/>
      <c r="Z46" s="24"/>
      <c r="AA46" s="24"/>
      <c r="AB46" s="24"/>
      <c r="AC46" s="24"/>
      <c r="AD46" s="24"/>
      <c r="AE46" s="24"/>
      <c r="AF46" s="1"/>
      <c r="AG46" s="1"/>
      <c r="AH46" s="1"/>
      <c r="AI46" s="1"/>
      <c r="AJ46" s="1"/>
      <c r="AK46" s="1"/>
    </row>
    <row r="47" spans="1:37" ht="20.45" customHeight="1">
      <c r="A47" s="1"/>
      <c r="B47" s="38"/>
      <c r="C47" s="38"/>
      <c r="D47" s="527" t="s">
        <v>43</v>
      </c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  <c r="P47" s="529"/>
      <c r="Q47" s="518"/>
      <c r="R47" s="518"/>
      <c r="S47" s="518"/>
      <c r="T47" s="485">
        <v>25</v>
      </c>
      <c r="U47" s="485"/>
      <c r="V47" s="485"/>
      <c r="W47" s="485"/>
      <c r="X47" s="485"/>
      <c r="Y47" s="24"/>
      <c r="Z47" s="24"/>
      <c r="AA47" s="24"/>
      <c r="AB47" s="24"/>
      <c r="AC47" s="24"/>
      <c r="AD47" s="24"/>
      <c r="AE47" s="24"/>
      <c r="AF47" s="1"/>
      <c r="AG47" s="1"/>
      <c r="AH47" s="1"/>
      <c r="AI47" s="1"/>
      <c r="AJ47" s="1"/>
      <c r="AK47" s="1"/>
    </row>
    <row r="48" spans="1:37" ht="20.45" customHeight="1">
      <c r="A48" s="1"/>
      <c r="B48" s="38"/>
      <c r="C48" s="38"/>
      <c r="D48" s="530" t="s">
        <v>55</v>
      </c>
      <c r="E48" s="530"/>
      <c r="F48" s="530"/>
      <c r="G48" s="486" t="s">
        <v>53</v>
      </c>
      <c r="H48" s="486"/>
      <c r="I48" s="486"/>
      <c r="J48" s="486"/>
      <c r="K48" s="486"/>
      <c r="L48" s="486"/>
      <c r="M48" s="486"/>
      <c r="N48" s="486"/>
      <c r="O48" s="486"/>
      <c r="P48" s="486"/>
      <c r="Q48" s="484">
        <f>'CALCULO MEZCLA FISICA'!G33</f>
        <v>1.9937184214119927</v>
      </c>
      <c r="R48" s="484"/>
      <c r="S48" s="484"/>
      <c r="T48" s="485"/>
      <c r="U48" s="485"/>
      <c r="V48" s="485"/>
      <c r="W48" s="485"/>
      <c r="X48" s="485"/>
      <c r="Y48" s="24"/>
      <c r="Z48" s="24"/>
      <c r="AA48" s="24"/>
      <c r="AB48" s="24"/>
      <c r="AC48" s="24"/>
      <c r="AD48" s="24"/>
      <c r="AE48" s="24"/>
      <c r="AF48" s="1"/>
      <c r="AG48" s="1"/>
      <c r="AH48" s="1"/>
      <c r="AI48" s="1"/>
      <c r="AJ48" s="1"/>
      <c r="AK48" s="1"/>
    </row>
    <row r="49" spans="1:37" ht="20.45" customHeight="1">
      <c r="A49" s="1"/>
      <c r="B49" s="38"/>
      <c r="C49" s="38"/>
      <c r="D49" s="530"/>
      <c r="E49" s="530"/>
      <c r="F49" s="530"/>
      <c r="G49" s="486" t="s">
        <v>54</v>
      </c>
      <c r="H49" s="486"/>
      <c r="I49" s="486"/>
      <c r="J49" s="486"/>
      <c r="K49" s="486"/>
      <c r="L49" s="486"/>
      <c r="M49" s="486"/>
      <c r="N49" s="486"/>
      <c r="O49" s="486"/>
      <c r="P49" s="486"/>
      <c r="Q49" s="526">
        <v>100</v>
      </c>
      <c r="R49" s="526"/>
      <c r="S49" s="526"/>
      <c r="T49" s="485"/>
      <c r="U49" s="485"/>
      <c r="V49" s="485"/>
      <c r="W49" s="485"/>
      <c r="X49" s="485"/>
      <c r="Y49" s="24"/>
      <c r="Z49" s="24"/>
      <c r="AA49" s="24"/>
      <c r="AB49" s="24"/>
      <c r="AC49" s="24"/>
      <c r="AD49" s="24"/>
      <c r="AE49" s="24"/>
      <c r="AF49" s="1"/>
      <c r="AG49" s="1"/>
      <c r="AH49" s="1"/>
      <c r="AI49" s="1"/>
      <c r="AJ49" s="1"/>
      <c r="AK49" s="1"/>
    </row>
    <row r="50" spans="1:37" ht="15" customHeight="1">
      <c r="A50" s="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4"/>
      <c r="X50" s="49"/>
      <c r="Y50" s="49"/>
      <c r="Z50" s="49"/>
      <c r="AA50" s="49"/>
      <c r="AB50" s="49"/>
      <c r="AC50" s="49"/>
      <c r="AD50" s="49"/>
      <c r="AE50" s="49"/>
      <c r="AF50" s="1"/>
      <c r="AG50" s="1"/>
      <c r="AH50" s="1"/>
      <c r="AI50" s="1"/>
      <c r="AJ50" s="1"/>
      <c r="AK50" s="1"/>
    </row>
    <row r="51" spans="1:37" ht="19.5" hidden="1" customHeight="1">
      <c r="A51" s="1"/>
      <c r="B51" s="24"/>
      <c r="C51" s="24"/>
      <c r="D51" s="24"/>
      <c r="E51" s="24"/>
      <c r="F51" s="42"/>
      <c r="G51" s="50"/>
      <c r="H51" s="50"/>
      <c r="I51" s="50"/>
      <c r="J51" s="50"/>
      <c r="K51" s="50"/>
      <c r="L51" s="24"/>
      <c r="M51" s="38"/>
      <c r="N51" s="38"/>
      <c r="O51" s="38"/>
      <c r="P51" s="38"/>
      <c r="Q51" s="51"/>
      <c r="R51" s="51"/>
      <c r="S51" s="12"/>
      <c r="T51" s="12"/>
      <c r="U51" s="12"/>
      <c r="V51" s="12"/>
      <c r="W51" s="24"/>
      <c r="X51" s="38"/>
      <c r="Y51" s="38"/>
      <c r="Z51" s="38"/>
      <c r="AA51" s="38"/>
      <c r="AB51" s="38"/>
      <c r="AC51" s="39"/>
      <c r="AD51" s="39"/>
      <c r="AE51" s="39"/>
      <c r="AF51" s="1"/>
      <c r="AG51" s="1"/>
      <c r="AH51" s="1"/>
      <c r="AI51" s="1"/>
      <c r="AJ51" s="1"/>
      <c r="AK51" s="1"/>
    </row>
    <row r="52" spans="1:37" ht="19.5" hidden="1" customHeight="1">
      <c r="A52" s="1"/>
      <c r="B52" s="52"/>
      <c r="C52" s="52"/>
      <c r="D52" s="24"/>
      <c r="E52" s="24"/>
      <c r="F52" s="126"/>
      <c r="G52" s="12"/>
      <c r="H52" s="12"/>
      <c r="I52" s="12"/>
      <c r="J52" s="12"/>
      <c r="K52" s="12"/>
      <c r="L52" s="24"/>
      <c r="M52" s="38"/>
      <c r="N52" s="38"/>
      <c r="O52" s="38"/>
      <c r="P52" s="38"/>
      <c r="Q52" s="51"/>
      <c r="R52" s="51"/>
      <c r="S52" s="12"/>
      <c r="T52" s="12"/>
      <c r="U52" s="12"/>
      <c r="V52" s="12"/>
      <c r="W52" s="24"/>
      <c r="X52" s="38"/>
      <c r="Y52" s="38"/>
      <c r="Z52" s="38"/>
      <c r="AA52" s="38"/>
      <c r="AB52" s="38"/>
      <c r="AC52" s="39"/>
      <c r="AD52" s="39"/>
      <c r="AE52" s="39"/>
      <c r="AF52" s="1"/>
      <c r="AG52" s="1"/>
      <c r="AH52" s="1"/>
      <c r="AI52" s="1"/>
      <c r="AJ52" s="1"/>
      <c r="AK52" s="1"/>
    </row>
    <row r="53" spans="1:37" ht="19.5" hidden="1" customHeight="1">
      <c r="A53" s="1"/>
      <c r="B53" s="52"/>
      <c r="C53" s="52"/>
      <c r="D53" s="24"/>
      <c r="E53" s="24"/>
      <c r="F53" s="126"/>
      <c r="G53" s="12"/>
      <c r="H53" s="12"/>
      <c r="I53" s="12"/>
      <c r="J53" s="12"/>
      <c r="K53" s="12"/>
      <c r="L53" s="24"/>
      <c r="M53" s="38"/>
      <c r="N53" s="38"/>
      <c r="O53" s="38"/>
      <c r="P53" s="38"/>
      <c r="Q53" s="50"/>
      <c r="R53" s="50"/>
      <c r="S53" s="53"/>
      <c r="T53" s="53"/>
      <c r="U53" s="53"/>
      <c r="V53" s="53"/>
      <c r="W53" s="24"/>
      <c r="X53" s="38"/>
      <c r="Y53" s="38"/>
      <c r="Z53" s="38"/>
      <c r="AA53" s="38"/>
      <c r="AB53" s="38"/>
      <c r="AC53" s="39"/>
      <c r="AD53" s="39"/>
      <c r="AE53" s="39"/>
      <c r="AF53" s="1"/>
      <c r="AG53" s="1"/>
      <c r="AH53" s="1"/>
      <c r="AI53" s="1"/>
      <c r="AJ53" s="1"/>
      <c r="AK53" s="1"/>
    </row>
    <row r="54" spans="1:37" ht="19.5" hidden="1" customHeight="1">
      <c r="A54" s="1"/>
      <c r="B54" s="52"/>
      <c r="C54" s="52"/>
      <c r="D54" s="24"/>
      <c r="E54" s="24"/>
      <c r="F54" s="126"/>
      <c r="G54" s="12"/>
      <c r="H54" s="12"/>
      <c r="I54" s="12"/>
      <c r="J54" s="12"/>
      <c r="K54" s="12"/>
      <c r="L54" s="24"/>
      <c r="M54" s="38"/>
      <c r="N54" s="38"/>
      <c r="O54" s="38"/>
      <c r="P54" s="38"/>
      <c r="Q54" s="50"/>
      <c r="R54" s="50"/>
      <c r="S54" s="53"/>
      <c r="T54" s="53"/>
      <c r="U54" s="53"/>
      <c r="V54" s="53"/>
      <c r="W54" s="24"/>
      <c r="X54" s="38"/>
      <c r="Y54" s="38"/>
      <c r="Z54" s="38"/>
      <c r="AA54" s="38"/>
      <c r="AB54" s="38"/>
      <c r="AC54" s="39"/>
      <c r="AD54" s="39"/>
      <c r="AE54" s="39"/>
      <c r="AF54" s="1"/>
      <c r="AG54" s="1"/>
      <c r="AH54" s="1"/>
      <c r="AI54" s="1"/>
      <c r="AJ54" s="1"/>
      <c r="AK54" s="1"/>
    </row>
    <row r="55" spans="1:37" ht="19.5" hidden="1" customHeight="1">
      <c r="A55" s="1"/>
      <c r="B55" s="24"/>
      <c r="C55" s="24"/>
      <c r="D55" s="24"/>
      <c r="E55" s="24"/>
      <c r="F55" s="126"/>
      <c r="G55" s="12"/>
      <c r="H55" s="12"/>
      <c r="I55" s="12"/>
      <c r="J55" s="12"/>
      <c r="K55" s="12"/>
      <c r="L55" s="24"/>
      <c r="M55" s="38"/>
      <c r="N55" s="38"/>
      <c r="O55" s="38"/>
      <c r="P55" s="38"/>
      <c r="Q55" s="50"/>
      <c r="R55" s="50"/>
      <c r="S55" s="12"/>
      <c r="T55" s="12"/>
      <c r="U55" s="12"/>
      <c r="V55" s="12"/>
      <c r="W55" s="24"/>
      <c r="X55" s="38"/>
      <c r="Y55" s="38"/>
      <c r="Z55" s="38"/>
      <c r="AA55" s="38"/>
      <c r="AB55" s="38"/>
      <c r="AC55" s="39"/>
      <c r="AD55" s="39"/>
      <c r="AE55" s="39"/>
      <c r="AF55" s="1"/>
      <c r="AG55" s="1"/>
      <c r="AH55" s="1"/>
      <c r="AI55" s="1"/>
      <c r="AJ55" s="1"/>
      <c r="AK55" s="1"/>
    </row>
    <row r="56" spans="1:37" ht="7.5" hidden="1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"/>
      <c r="AG56" s="1"/>
      <c r="AH56" s="1"/>
      <c r="AI56" s="1"/>
      <c r="AJ56" s="1"/>
      <c r="AK56" s="1"/>
    </row>
    <row r="57" spans="1:37" ht="23.45" customHeight="1">
      <c r="A57" s="1"/>
      <c r="B57" s="516" t="s">
        <v>10</v>
      </c>
      <c r="C57" s="517"/>
      <c r="D57" s="517"/>
      <c r="E57" s="517"/>
      <c r="F57" s="517"/>
      <c r="G57" s="517"/>
      <c r="H57" s="517"/>
      <c r="I57" s="517"/>
      <c r="J57" s="517"/>
      <c r="K57" s="517"/>
      <c r="L57" s="16"/>
      <c r="M57" s="16"/>
      <c r="N57" s="16"/>
      <c r="O57" s="16"/>
      <c r="P57" s="16"/>
      <c r="Q57" s="16"/>
      <c r="R57" s="16"/>
      <c r="S57" s="5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1"/>
      <c r="AF57" s="1"/>
      <c r="AG57" s="1"/>
      <c r="AH57" s="1"/>
      <c r="AI57" s="1"/>
      <c r="AJ57" s="1"/>
      <c r="AK57" s="1"/>
    </row>
    <row r="58" spans="1:37" ht="23.45" customHeight="1">
      <c r="A58" s="1"/>
      <c r="B58" s="578" t="s">
        <v>476</v>
      </c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79"/>
      <c r="P58" s="579"/>
      <c r="Q58" s="579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80"/>
      <c r="AF58" s="1"/>
      <c r="AG58" s="1"/>
      <c r="AH58" s="1"/>
      <c r="AI58" s="1"/>
      <c r="AJ58" s="1"/>
      <c r="AK58" s="1"/>
    </row>
    <row r="59" spans="1:37" ht="23.45" customHeight="1">
      <c r="A59" s="1"/>
      <c r="B59" s="578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79"/>
      <c r="P59" s="579"/>
      <c r="Q59" s="579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80"/>
      <c r="AF59" s="1"/>
      <c r="AG59" s="1"/>
      <c r="AH59" s="1"/>
      <c r="AI59" s="1"/>
      <c r="AJ59" s="1"/>
      <c r="AK59" s="1"/>
    </row>
    <row r="60" spans="1:37" ht="23.45" customHeight="1">
      <c r="A60" s="1"/>
      <c r="B60" s="581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82"/>
      <c r="AB60" s="582"/>
      <c r="AC60" s="582"/>
      <c r="AD60" s="582"/>
      <c r="AE60" s="583"/>
      <c r="AF60" s="1"/>
      <c r="AG60" s="1"/>
      <c r="AH60" s="1"/>
      <c r="AI60" s="1"/>
      <c r="AJ60" s="1"/>
      <c r="AK60" s="1"/>
    </row>
    <row r="61" spans="1:37" ht="15" customHeight="1">
      <c r="A61" s="1"/>
      <c r="B61" s="4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41"/>
      <c r="AF61" s="1"/>
      <c r="AG61" s="1"/>
      <c r="AH61" s="1"/>
      <c r="AI61" s="1"/>
      <c r="AJ61" s="1"/>
      <c r="AK61" s="1"/>
    </row>
    <row r="62" spans="1:37" ht="17.45" customHeight="1">
      <c r="A62" s="1"/>
      <c r="B62" s="18"/>
      <c r="C62" s="525" t="s">
        <v>11</v>
      </c>
      <c r="D62" s="525"/>
      <c r="E62" s="525"/>
      <c r="F62" s="22"/>
      <c r="G62" s="21"/>
      <c r="H62" s="20"/>
      <c r="I62" s="525" t="s">
        <v>12</v>
      </c>
      <c r="J62" s="525"/>
      <c r="K62" s="525"/>
      <c r="L62" s="525"/>
      <c r="M62" s="525"/>
      <c r="N62" s="525"/>
      <c r="O62" s="525"/>
      <c r="P62" s="525"/>
      <c r="Q62" s="525"/>
      <c r="R62" s="20"/>
      <c r="S62" s="531" t="s">
        <v>450</v>
      </c>
      <c r="T62" s="532"/>
      <c r="U62" s="532"/>
      <c r="V62" s="532"/>
      <c r="W62" s="532"/>
      <c r="X62" s="532"/>
      <c r="Y62" s="532"/>
      <c r="Z62" s="532"/>
      <c r="AA62" s="532"/>
      <c r="AB62" s="532"/>
      <c r="AC62" s="532"/>
      <c r="AD62" s="532"/>
      <c r="AE62" s="533"/>
      <c r="AF62" s="1"/>
      <c r="AG62" s="1"/>
      <c r="AH62" s="1"/>
      <c r="AI62" s="1"/>
      <c r="AJ62" s="1"/>
      <c r="AK62" s="1"/>
    </row>
    <row r="63" spans="1:37" ht="51" customHeight="1">
      <c r="A63" s="1"/>
      <c r="B63" s="25"/>
      <c r="C63" s="24"/>
      <c r="D63" s="24"/>
      <c r="E63" s="24"/>
      <c r="F63" s="27"/>
      <c r="G63" s="26"/>
      <c r="H63" s="24"/>
      <c r="I63" s="24"/>
      <c r="J63" s="24"/>
      <c r="K63" s="24"/>
      <c r="L63" s="24"/>
      <c r="M63" s="24"/>
      <c r="N63" s="19"/>
      <c r="O63" s="19"/>
      <c r="P63" s="19"/>
      <c r="Q63" s="17"/>
      <c r="R63" s="17"/>
      <c r="S63" s="2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9"/>
      <c r="AE63" s="6"/>
      <c r="AF63" s="1"/>
      <c r="AG63" s="1"/>
      <c r="AH63" s="1"/>
      <c r="AI63" s="1"/>
      <c r="AJ63" s="1"/>
      <c r="AK63" s="1"/>
    </row>
    <row r="64" spans="1:37" ht="22.9" customHeight="1">
      <c r="A64" s="1"/>
      <c r="B64" s="513" t="s">
        <v>447</v>
      </c>
      <c r="C64" s="514"/>
      <c r="D64" s="514"/>
      <c r="E64" s="514"/>
      <c r="F64" s="515"/>
      <c r="G64" s="513" t="s">
        <v>448</v>
      </c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5"/>
      <c r="S64" s="534" t="s">
        <v>449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6"/>
      <c r="AF64" s="1"/>
      <c r="AG64" s="1"/>
      <c r="AH64" s="1"/>
      <c r="AI64" s="1"/>
      <c r="AJ64" s="1"/>
      <c r="AK64" s="1"/>
    </row>
    <row r="65" spans="1:37" ht="6.6" customHeight="1">
      <c r="A65" s="1"/>
      <c r="B65" s="13"/>
      <c r="C65" s="28"/>
      <c r="D65" s="28"/>
      <c r="E65" s="28"/>
      <c r="F65" s="30"/>
      <c r="G65" s="29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9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9"/>
      <c r="AF65" s="1"/>
      <c r="AG65" s="1"/>
      <c r="AH65" s="1"/>
      <c r="AI65" s="1"/>
      <c r="AJ65" s="1"/>
      <c r="AK65" s="1"/>
    </row>
    <row r="66" spans="1:37" ht="16.149999999999999" customHeight="1">
      <c r="A66" s="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512" t="s">
        <v>13</v>
      </c>
      <c r="AB66" s="512"/>
      <c r="AC66" s="512"/>
      <c r="AD66" s="512"/>
      <c r="AE66" s="512"/>
      <c r="AF66" s="1"/>
      <c r="AG66" s="1"/>
      <c r="AH66" s="1"/>
      <c r="AI66" s="1"/>
      <c r="AJ66" s="1"/>
      <c r="AK66" s="1"/>
    </row>
    <row r="67" spans="1:37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</sheetData>
  <mergeCells count="108">
    <mergeCell ref="AA4:AD5"/>
    <mergeCell ref="B6:AE6"/>
    <mergeCell ref="B7:AF7"/>
    <mergeCell ref="B9:D13"/>
    <mergeCell ref="E9:R13"/>
    <mergeCell ref="U10:AD10"/>
    <mergeCell ref="X11:AD11"/>
    <mergeCell ref="V12:AD12"/>
    <mergeCell ref="B15:C18"/>
    <mergeCell ref="D15:F15"/>
    <mergeCell ref="G15:V15"/>
    <mergeCell ref="AB15:AD15"/>
    <mergeCell ref="D16:I16"/>
    <mergeCell ref="J16:AD16"/>
    <mergeCell ref="D17:H17"/>
    <mergeCell ref="I17:AD17"/>
    <mergeCell ref="D18:O18"/>
    <mergeCell ref="P18:AE18"/>
    <mergeCell ref="F24:K24"/>
    <mergeCell ref="G25:K25"/>
    <mergeCell ref="B26:C26"/>
    <mergeCell ref="D26:E26"/>
    <mergeCell ref="G26:K26"/>
    <mergeCell ref="B27:C27"/>
    <mergeCell ref="D27:E27"/>
    <mergeCell ref="G27:K27"/>
    <mergeCell ref="B20:AE20"/>
    <mergeCell ref="B21:E22"/>
    <mergeCell ref="F21:K21"/>
    <mergeCell ref="N21:AD21"/>
    <mergeCell ref="F22:K22"/>
    <mergeCell ref="M22:M39"/>
    <mergeCell ref="B23:E23"/>
    <mergeCell ref="F23:K23"/>
    <mergeCell ref="B24:C25"/>
    <mergeCell ref="D24:E25"/>
    <mergeCell ref="B30:C30"/>
    <mergeCell ref="D30:E30"/>
    <mergeCell ref="G30:K30"/>
    <mergeCell ref="B31:C31"/>
    <mergeCell ref="D31:E31"/>
    <mergeCell ref="G31:K31"/>
    <mergeCell ref="B28:C28"/>
    <mergeCell ref="D28:E28"/>
    <mergeCell ref="G28:K28"/>
    <mergeCell ref="B29:C29"/>
    <mergeCell ref="D29:E29"/>
    <mergeCell ref="G29:K29"/>
    <mergeCell ref="B34:C34"/>
    <mergeCell ref="D34:E34"/>
    <mergeCell ref="G34:K34"/>
    <mergeCell ref="B35:C35"/>
    <mergeCell ref="D35:E35"/>
    <mergeCell ref="G35:K35"/>
    <mergeCell ref="B32:C32"/>
    <mergeCell ref="D32:E32"/>
    <mergeCell ref="G32:K32"/>
    <mergeCell ref="B33:C33"/>
    <mergeCell ref="D33:E33"/>
    <mergeCell ref="G33:K33"/>
    <mergeCell ref="B38:C38"/>
    <mergeCell ref="D38:E38"/>
    <mergeCell ref="G38:K38"/>
    <mergeCell ref="B39:C39"/>
    <mergeCell ref="D39:E39"/>
    <mergeCell ref="G39:K39"/>
    <mergeCell ref="B36:C36"/>
    <mergeCell ref="D36:E36"/>
    <mergeCell ref="G36:K36"/>
    <mergeCell ref="B37:C37"/>
    <mergeCell ref="D37:E37"/>
    <mergeCell ref="G37:K37"/>
    <mergeCell ref="D44:P44"/>
    <mergeCell ref="Q44:S44"/>
    <mergeCell ref="T44:X44"/>
    <mergeCell ref="D45:P45"/>
    <mergeCell ref="Q45:S45"/>
    <mergeCell ref="T45:X45"/>
    <mergeCell ref="P39:AC39"/>
    <mergeCell ref="D41:X41"/>
    <mergeCell ref="D42:P42"/>
    <mergeCell ref="Q42:S42"/>
    <mergeCell ref="T42:X42"/>
    <mergeCell ref="D43:P43"/>
    <mergeCell ref="Q43:S43"/>
    <mergeCell ref="T43:X43"/>
    <mergeCell ref="D48:F49"/>
    <mergeCell ref="G48:P48"/>
    <mergeCell ref="Q48:S48"/>
    <mergeCell ref="T48:X48"/>
    <mergeCell ref="G49:P49"/>
    <mergeCell ref="Q49:S49"/>
    <mergeCell ref="T49:X49"/>
    <mergeCell ref="D46:P46"/>
    <mergeCell ref="Q46:S46"/>
    <mergeCell ref="T46:X46"/>
    <mergeCell ref="D47:P47"/>
    <mergeCell ref="Q47:S47"/>
    <mergeCell ref="T47:X47"/>
    <mergeCell ref="AA66:AE66"/>
    <mergeCell ref="B57:K57"/>
    <mergeCell ref="B58:AE60"/>
    <mergeCell ref="C62:E62"/>
    <mergeCell ref="I62:Q62"/>
    <mergeCell ref="B64:F64"/>
    <mergeCell ref="S62:AE62"/>
    <mergeCell ref="G64:R64"/>
    <mergeCell ref="S64:AE64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0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41"/>
  <sheetViews>
    <sheetView view="pageBreakPreview" zoomScale="98" zoomScaleSheetLayoutView="98" workbookViewId="0">
      <selection activeCell="C9" sqref="C9:H11"/>
    </sheetView>
  </sheetViews>
  <sheetFormatPr baseColWidth="10" defaultRowHeight="12.75"/>
  <cols>
    <col min="1" max="1" width="6.5703125" customWidth="1"/>
    <col min="2" max="2" width="6.7109375" customWidth="1"/>
    <col min="3" max="3" width="10.28515625" customWidth="1"/>
    <col min="4" max="4" width="9.5703125" customWidth="1"/>
    <col min="5" max="5" width="13" customWidth="1"/>
    <col min="6" max="6" width="3.7109375" customWidth="1"/>
    <col min="7" max="7" width="7.5703125" customWidth="1"/>
    <col min="8" max="8" width="6.42578125" customWidth="1"/>
    <col min="9" max="9" width="5.28515625" customWidth="1"/>
    <col min="10" max="10" width="9.140625" customWidth="1"/>
    <col min="11" max="11" width="5.85546875" customWidth="1"/>
    <col min="12" max="12" width="6.28515625" customWidth="1"/>
    <col min="13" max="13" width="6.140625" customWidth="1"/>
    <col min="14" max="14" width="6.28515625" customWidth="1"/>
  </cols>
  <sheetData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658"/>
      <c r="L5" s="658"/>
      <c r="M5" s="658"/>
      <c r="N5" s="658"/>
    </row>
    <row r="6" spans="1:15" ht="15">
      <c r="A6" s="2"/>
      <c r="B6" s="2"/>
      <c r="C6" s="659" t="s">
        <v>183</v>
      </c>
      <c r="D6" s="659"/>
      <c r="E6" s="659"/>
      <c r="F6" s="659"/>
      <c r="G6" s="659"/>
      <c r="H6" s="659"/>
      <c r="I6" s="659"/>
      <c r="J6" s="659"/>
      <c r="K6" s="659"/>
      <c r="L6" s="659"/>
      <c r="M6" s="2"/>
      <c r="N6" s="151"/>
      <c r="O6" s="152"/>
    </row>
    <row r="7" spans="1:15" ht="17.25" customHeight="1">
      <c r="A7" s="660" t="s">
        <v>184</v>
      </c>
      <c r="B7" s="660"/>
      <c r="C7" s="660"/>
      <c r="D7" s="660"/>
      <c r="E7" s="660"/>
      <c r="F7" s="660"/>
      <c r="G7" s="660"/>
      <c r="H7" s="660"/>
      <c r="I7" s="660"/>
      <c r="J7" s="660"/>
      <c r="K7" s="660"/>
      <c r="L7" s="660"/>
      <c r="M7" s="660"/>
      <c r="N7" s="660"/>
      <c r="O7" s="152"/>
    </row>
    <row r="8" spans="1:15" ht="3.75" customHeight="1">
      <c r="A8" s="2"/>
      <c r="B8" s="2"/>
      <c r="C8" s="2"/>
      <c r="D8" s="2"/>
      <c r="E8" s="2"/>
      <c r="F8" s="2"/>
      <c r="G8" s="153"/>
      <c r="H8" s="2"/>
      <c r="I8" s="153"/>
      <c r="J8" s="2"/>
      <c r="K8" s="2"/>
      <c r="L8" s="2"/>
      <c r="M8" s="2"/>
      <c r="N8" s="2"/>
    </row>
    <row r="9" spans="1:15" ht="19.899999999999999" customHeight="1">
      <c r="A9" s="661" t="s">
        <v>185</v>
      </c>
      <c r="B9" s="661"/>
      <c r="C9" s="661" t="str">
        <f>'INFORME PETREO FISICO'!E9</f>
        <v>SAN LUIS DEL CORDERO - SAN PEDRO DEL GALLO</v>
      </c>
      <c r="D9" s="661"/>
      <c r="E9" s="661"/>
      <c r="F9" s="661"/>
      <c r="G9" s="661"/>
      <c r="H9" s="661"/>
      <c r="I9" s="662" t="s">
        <v>186</v>
      </c>
      <c r="J9" s="663"/>
      <c r="K9" s="631">
        <f>'INFORME PETREO FISICO'!U10+1</f>
        <v>637</v>
      </c>
      <c r="L9" s="631"/>
      <c r="M9" s="631"/>
      <c r="N9" s="632"/>
    </row>
    <row r="10" spans="1:15" ht="19.899999999999999" customHeight="1">
      <c r="A10" s="661"/>
      <c r="B10" s="661"/>
      <c r="C10" s="661"/>
      <c r="D10" s="661"/>
      <c r="E10" s="661"/>
      <c r="F10" s="661"/>
      <c r="G10" s="661"/>
      <c r="H10" s="661"/>
      <c r="I10" s="664" t="s">
        <v>1</v>
      </c>
      <c r="J10" s="665"/>
      <c r="K10" s="666">
        <f>'INFORME PETREO FISICO'!X11</f>
        <v>42341</v>
      </c>
      <c r="L10" s="667"/>
      <c r="M10" s="667"/>
      <c r="N10" s="668"/>
    </row>
    <row r="11" spans="1:15" ht="19.899999999999999" customHeight="1">
      <c r="A11" s="661"/>
      <c r="B11" s="661"/>
      <c r="C11" s="661"/>
      <c r="D11" s="661"/>
      <c r="E11" s="661"/>
      <c r="F11" s="661"/>
      <c r="G11" s="661"/>
      <c r="H11" s="661"/>
      <c r="I11" s="669" t="s">
        <v>2</v>
      </c>
      <c r="J11" s="670"/>
      <c r="K11" s="671">
        <f>'INFORME PETREO FISICO'!V12</f>
        <v>42345</v>
      </c>
      <c r="L11" s="631"/>
      <c r="M11" s="631"/>
      <c r="N11" s="632"/>
    </row>
    <row r="12" spans="1:15" ht="6.75" customHeight="1">
      <c r="A12" s="153"/>
      <c r="B12" s="153"/>
      <c r="C12" s="153"/>
      <c r="D12" s="2"/>
      <c r="E12" s="153"/>
      <c r="F12" s="2"/>
      <c r="G12" s="2"/>
      <c r="H12" s="2"/>
      <c r="I12" s="2"/>
      <c r="J12" s="2"/>
      <c r="K12" s="2"/>
      <c r="L12" s="2"/>
      <c r="M12" s="154"/>
      <c r="N12" s="154"/>
    </row>
    <row r="13" spans="1:15" ht="19.899999999999999" customHeight="1">
      <c r="A13" s="155" t="s">
        <v>187</v>
      </c>
      <c r="B13" s="156"/>
      <c r="C13" s="156"/>
      <c r="D13" s="157"/>
      <c r="E13" s="631" t="s">
        <v>222</v>
      </c>
      <c r="F13" s="631"/>
      <c r="G13" s="631"/>
      <c r="H13" s="631"/>
      <c r="I13" s="631"/>
      <c r="J13" s="631"/>
      <c r="K13" s="631"/>
      <c r="L13" s="631"/>
      <c r="M13" s="631"/>
      <c r="N13" s="632"/>
    </row>
    <row r="14" spans="1:15" ht="19.899999999999999" customHeight="1">
      <c r="A14" s="158" t="s">
        <v>188</v>
      </c>
      <c r="B14" s="159"/>
      <c r="C14" s="159"/>
      <c r="D14" s="160"/>
      <c r="E14" s="672" t="s">
        <v>462</v>
      </c>
      <c r="F14" s="672"/>
      <c r="G14" s="672"/>
      <c r="H14" s="672"/>
      <c r="I14" s="672"/>
      <c r="J14" s="672"/>
      <c r="K14" s="672"/>
      <c r="L14" s="672"/>
      <c r="M14" s="672"/>
      <c r="N14" s="673"/>
    </row>
    <row r="15" spans="1:15" ht="19.899999999999999" customHeight="1">
      <c r="A15" s="674" t="s">
        <v>189</v>
      </c>
      <c r="B15" s="665"/>
      <c r="C15" s="665"/>
      <c r="D15" s="631" t="str">
        <f>'INFORME PETREO FISICO'!P18</f>
        <v>PLANTA CRIBISA EN LERDO, DGO.</v>
      </c>
      <c r="E15" s="631"/>
      <c r="F15" s="631"/>
      <c r="G15" s="631"/>
      <c r="H15" s="631"/>
      <c r="I15" s="631"/>
      <c r="J15" s="631"/>
      <c r="K15" s="631"/>
      <c r="L15" s="631"/>
      <c r="M15" s="631"/>
      <c r="N15" s="632"/>
    </row>
    <row r="16" spans="1:15" ht="19.899999999999999" customHeight="1">
      <c r="A16" s="656" t="s">
        <v>190</v>
      </c>
      <c r="B16" s="657"/>
      <c r="C16" s="657"/>
      <c r="D16" s="631" t="s">
        <v>191</v>
      </c>
      <c r="E16" s="631"/>
      <c r="F16" s="631"/>
      <c r="G16" s="631"/>
      <c r="H16" s="631"/>
      <c r="I16" s="631"/>
      <c r="J16" s="631"/>
      <c r="K16" s="631"/>
      <c r="L16" s="631"/>
      <c r="M16" s="631"/>
      <c r="N16" s="632"/>
    </row>
    <row r="17" spans="1:14" ht="6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8" customHeight="1">
      <c r="A18" s="633" t="s">
        <v>192</v>
      </c>
      <c r="B18" s="634"/>
      <c r="C18" s="634"/>
      <c r="D18" s="634"/>
      <c r="E18" s="634"/>
      <c r="F18" s="633" t="s">
        <v>193</v>
      </c>
      <c r="G18" s="634"/>
      <c r="H18" s="634"/>
      <c r="I18" s="634"/>
      <c r="J18" s="635"/>
      <c r="K18" s="633" t="s">
        <v>194</v>
      </c>
      <c r="L18" s="634"/>
      <c r="M18" s="634"/>
      <c r="N18" s="635"/>
    </row>
    <row r="19" spans="1:14" ht="28.5" customHeight="1">
      <c r="A19" s="636" t="s">
        <v>195</v>
      </c>
      <c r="B19" s="636"/>
      <c r="C19" s="613" t="s">
        <v>196</v>
      </c>
      <c r="D19" s="614"/>
      <c r="E19" s="615"/>
      <c r="F19" s="637"/>
      <c r="G19" s="637"/>
      <c r="H19" s="637"/>
      <c r="I19" s="637"/>
      <c r="J19" s="637"/>
      <c r="K19" s="630" t="s">
        <v>197</v>
      </c>
      <c r="L19" s="630"/>
      <c r="M19" s="630"/>
      <c r="N19" s="630"/>
    </row>
    <row r="20" spans="1:14" ht="18" customHeight="1">
      <c r="A20" s="636"/>
      <c r="B20" s="636"/>
      <c r="C20" s="638" t="s">
        <v>198</v>
      </c>
      <c r="D20" s="639"/>
      <c r="E20" s="640"/>
      <c r="F20" s="644"/>
      <c r="G20" s="645"/>
      <c r="H20" s="645"/>
      <c r="I20" s="645"/>
      <c r="J20" s="646"/>
      <c r="K20" s="650" t="s">
        <v>199</v>
      </c>
      <c r="L20" s="651"/>
      <c r="M20" s="651"/>
      <c r="N20" s="652"/>
    </row>
    <row r="21" spans="1:14" ht="18.75" customHeight="1">
      <c r="A21" s="636"/>
      <c r="B21" s="636"/>
      <c r="C21" s="641"/>
      <c r="D21" s="642"/>
      <c r="E21" s="643"/>
      <c r="F21" s="647"/>
      <c r="G21" s="648"/>
      <c r="H21" s="648"/>
      <c r="I21" s="648"/>
      <c r="J21" s="649"/>
      <c r="K21" s="653"/>
      <c r="L21" s="654"/>
      <c r="M21" s="654"/>
      <c r="N21" s="655"/>
    </row>
    <row r="22" spans="1:14" ht="28.5" customHeight="1">
      <c r="A22" s="636"/>
      <c r="B22" s="636"/>
      <c r="C22" s="613" t="s">
        <v>200</v>
      </c>
      <c r="D22" s="614"/>
      <c r="E22" s="615"/>
      <c r="F22" s="616">
        <v>189</v>
      </c>
      <c r="G22" s="616"/>
      <c r="H22" s="616"/>
      <c r="I22" s="616"/>
      <c r="J22" s="616"/>
      <c r="K22" s="630" t="s">
        <v>201</v>
      </c>
      <c r="L22" s="630"/>
      <c r="M22" s="630"/>
      <c r="N22" s="630"/>
    </row>
    <row r="23" spans="1:14" ht="27.75" customHeight="1">
      <c r="A23" s="636"/>
      <c r="B23" s="636"/>
      <c r="C23" s="613" t="s">
        <v>202</v>
      </c>
      <c r="D23" s="614"/>
      <c r="E23" s="615"/>
      <c r="F23" s="616">
        <v>71</v>
      </c>
      <c r="G23" s="616"/>
      <c r="H23" s="616"/>
      <c r="I23" s="616"/>
      <c r="J23" s="616"/>
      <c r="K23" s="630" t="s">
        <v>203</v>
      </c>
      <c r="L23" s="630"/>
      <c r="M23" s="630"/>
      <c r="N23" s="630"/>
    </row>
    <row r="24" spans="1:14" ht="38.25" customHeight="1">
      <c r="A24" s="636"/>
      <c r="B24" s="636"/>
      <c r="C24" s="613" t="s">
        <v>204</v>
      </c>
      <c r="D24" s="624"/>
      <c r="E24" s="625"/>
      <c r="F24" s="616">
        <v>255</v>
      </c>
      <c r="G24" s="616"/>
      <c r="H24" s="616"/>
      <c r="I24" s="616"/>
      <c r="J24" s="616"/>
      <c r="K24" s="618" t="s">
        <v>205</v>
      </c>
      <c r="L24" s="618"/>
      <c r="M24" s="618"/>
      <c r="N24" s="618"/>
    </row>
    <row r="25" spans="1:14" ht="28.5" customHeight="1">
      <c r="A25" s="636"/>
      <c r="B25" s="636"/>
      <c r="C25" s="613" t="s">
        <v>206</v>
      </c>
      <c r="D25" s="624"/>
      <c r="E25" s="625"/>
      <c r="F25" s="616">
        <v>99.4</v>
      </c>
      <c r="G25" s="616"/>
      <c r="H25" s="616"/>
      <c r="I25" s="616"/>
      <c r="J25" s="616"/>
      <c r="K25" s="622" t="s">
        <v>207</v>
      </c>
      <c r="L25" s="622"/>
      <c r="M25" s="622"/>
      <c r="N25" s="622"/>
    </row>
    <row r="26" spans="1:14" ht="28.5" customHeight="1">
      <c r="A26" s="636"/>
      <c r="B26" s="636"/>
      <c r="C26" s="613" t="s">
        <v>208</v>
      </c>
      <c r="D26" s="624"/>
      <c r="E26" s="625"/>
      <c r="F26" s="616">
        <v>53</v>
      </c>
      <c r="G26" s="616"/>
      <c r="H26" s="616"/>
      <c r="I26" s="616"/>
      <c r="J26" s="616"/>
      <c r="K26" s="622" t="s">
        <v>209</v>
      </c>
      <c r="L26" s="622"/>
      <c r="M26" s="622"/>
      <c r="N26" s="622"/>
    </row>
    <row r="27" spans="1:14" ht="27.75" customHeight="1">
      <c r="A27" s="626" t="s">
        <v>210</v>
      </c>
      <c r="B27" s="626"/>
      <c r="C27" s="627" t="s">
        <v>211</v>
      </c>
      <c r="D27" s="628"/>
      <c r="E27" s="628"/>
      <c r="F27" s="629">
        <v>0.22</v>
      </c>
      <c r="G27" s="629"/>
      <c r="H27" s="629"/>
      <c r="I27" s="629"/>
      <c r="J27" s="629"/>
      <c r="K27" s="623" t="s">
        <v>212</v>
      </c>
      <c r="L27" s="623"/>
      <c r="M27" s="623"/>
      <c r="N27" s="623"/>
    </row>
    <row r="28" spans="1:14" ht="27.75" customHeight="1">
      <c r="A28" s="626"/>
      <c r="B28" s="626"/>
      <c r="C28" s="613" t="s">
        <v>196</v>
      </c>
      <c r="D28" s="614"/>
      <c r="E28" s="615"/>
      <c r="F28" s="616"/>
      <c r="G28" s="616"/>
      <c r="H28" s="616"/>
      <c r="I28" s="616"/>
      <c r="J28" s="616"/>
      <c r="K28" s="623" t="s">
        <v>213</v>
      </c>
      <c r="L28" s="623"/>
      <c r="M28" s="623"/>
      <c r="N28" s="623"/>
    </row>
    <row r="29" spans="1:14" ht="27.75" customHeight="1">
      <c r="A29" s="626"/>
      <c r="B29" s="626"/>
      <c r="C29" s="604" t="s">
        <v>214</v>
      </c>
      <c r="D29" s="605"/>
      <c r="E29" s="606"/>
      <c r="F29" s="607"/>
      <c r="G29" s="608"/>
      <c r="H29" s="608"/>
      <c r="I29" s="608"/>
      <c r="J29" s="609"/>
      <c r="K29" s="610" t="s">
        <v>215</v>
      </c>
      <c r="L29" s="611"/>
      <c r="M29" s="611"/>
      <c r="N29" s="612"/>
    </row>
    <row r="30" spans="1:14" ht="28.5" customHeight="1">
      <c r="A30" s="626"/>
      <c r="B30" s="626"/>
      <c r="C30" s="613" t="s">
        <v>216</v>
      </c>
      <c r="D30" s="614"/>
      <c r="E30" s="615"/>
      <c r="F30" s="616">
        <v>92</v>
      </c>
      <c r="G30" s="616"/>
      <c r="H30" s="616"/>
      <c r="I30" s="616"/>
      <c r="J30" s="616"/>
      <c r="K30" s="617" t="s">
        <v>217</v>
      </c>
      <c r="L30" s="618"/>
      <c r="M30" s="618"/>
      <c r="N30" s="618"/>
    </row>
    <row r="31" spans="1:14" ht="27.75" customHeight="1">
      <c r="A31" s="626"/>
      <c r="B31" s="626"/>
      <c r="F31" s="619"/>
      <c r="G31" s="619"/>
      <c r="H31" s="619"/>
      <c r="I31" s="619"/>
      <c r="J31" s="619"/>
      <c r="K31" s="617"/>
      <c r="L31" s="618"/>
      <c r="M31" s="618"/>
      <c r="N31" s="618"/>
    </row>
    <row r="32" spans="1:14" ht="27.75" customHeight="1">
      <c r="A32" s="626"/>
      <c r="B32" s="626"/>
      <c r="C32" s="620"/>
      <c r="D32" s="621"/>
      <c r="E32" s="621"/>
      <c r="F32" s="622"/>
      <c r="G32" s="622"/>
      <c r="H32" s="622"/>
      <c r="I32" s="622"/>
      <c r="J32" s="622"/>
      <c r="K32" s="623"/>
      <c r="L32" s="623"/>
      <c r="M32" s="623"/>
      <c r="N32" s="623"/>
    </row>
    <row r="33" spans="1:14" ht="6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601" t="s">
        <v>218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3"/>
    </row>
    <row r="35" spans="1:14" ht="32.25" customHeight="1">
      <c r="A35" s="587" t="s">
        <v>219</v>
      </c>
      <c r="B35" s="588"/>
      <c r="C35" s="588"/>
      <c r="D35" s="588"/>
      <c r="E35" s="588"/>
      <c r="F35" s="588"/>
      <c r="G35" s="588"/>
      <c r="H35" s="588"/>
      <c r="I35" s="588"/>
      <c r="J35" s="588"/>
      <c r="K35" s="588"/>
      <c r="L35" s="588"/>
      <c r="M35" s="588"/>
      <c r="N35" s="589"/>
    </row>
    <row r="36" spans="1:14" ht="4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</row>
    <row r="37" spans="1:14" ht="12.6" customHeight="1">
      <c r="A37" s="590" t="s">
        <v>165</v>
      </c>
      <c r="B37" s="591"/>
      <c r="C37" s="591"/>
      <c r="D37" s="592"/>
      <c r="E37" s="590" t="s">
        <v>220</v>
      </c>
      <c r="F37" s="593"/>
      <c r="G37" s="593"/>
      <c r="H37" s="593"/>
      <c r="I37" s="594"/>
      <c r="J37" s="590" t="s">
        <v>450</v>
      </c>
      <c r="K37" s="591"/>
      <c r="L37" s="591"/>
      <c r="M37" s="591"/>
      <c r="N37" s="592"/>
    </row>
    <row r="38" spans="1:14" ht="18" customHeight="1">
      <c r="A38" s="595" t="str">
        <f>'INFORME PETREO FISICO'!B64</f>
        <v>C. JULIO CESAR GARCIA RODRIGUEZ</v>
      </c>
      <c r="B38" s="596"/>
      <c r="C38" s="596"/>
      <c r="D38" s="597"/>
      <c r="E38" s="595" t="str">
        <f>'INFORME PETREO FISICO'!G64</f>
        <v>ING. JOSE LUIS TAMAYO AMAYA</v>
      </c>
      <c r="F38" s="596"/>
      <c r="G38" s="596"/>
      <c r="H38" s="596"/>
      <c r="I38" s="597"/>
      <c r="J38" s="595" t="str">
        <f>'INFORME PETREO FISICO'!S64</f>
        <v>ARQ. CARLOS G. TAMAYO AMAYA</v>
      </c>
      <c r="K38" s="596"/>
      <c r="L38" s="596"/>
      <c r="M38" s="596"/>
      <c r="N38" s="597"/>
    </row>
    <row r="39" spans="1:14" ht="18" customHeight="1">
      <c r="A39" s="598"/>
      <c r="B39" s="599"/>
      <c r="C39" s="599"/>
      <c r="D39" s="600"/>
      <c r="E39" s="598"/>
      <c r="F39" s="599"/>
      <c r="G39" s="599"/>
      <c r="H39" s="599"/>
      <c r="I39" s="600"/>
      <c r="J39" s="598"/>
      <c r="K39" s="599"/>
      <c r="L39" s="599"/>
      <c r="M39" s="599"/>
      <c r="N39" s="600"/>
    </row>
    <row r="40" spans="1:14" ht="3.6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9.75" customHeight="1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586" t="s">
        <v>221</v>
      </c>
      <c r="M41" s="586"/>
      <c r="N41" s="586"/>
    </row>
  </sheetData>
  <mergeCells count="69">
    <mergeCell ref="A16:C16"/>
    <mergeCell ref="D16:N16"/>
    <mergeCell ref="K5:N5"/>
    <mergeCell ref="C6:L6"/>
    <mergeCell ref="A7:N7"/>
    <mergeCell ref="A9:B11"/>
    <mergeCell ref="C9:H11"/>
    <mergeCell ref="I9:J9"/>
    <mergeCell ref="K9:N9"/>
    <mergeCell ref="I10:J10"/>
    <mergeCell ref="K10:N10"/>
    <mergeCell ref="I11:J11"/>
    <mergeCell ref="K11:N11"/>
    <mergeCell ref="E13:N13"/>
    <mergeCell ref="E14:N14"/>
    <mergeCell ref="A15:C15"/>
    <mergeCell ref="D15:N15"/>
    <mergeCell ref="A18:E18"/>
    <mergeCell ref="F18:J18"/>
    <mergeCell ref="K18:N18"/>
    <mergeCell ref="A19:B26"/>
    <mergeCell ref="C19:E19"/>
    <mergeCell ref="F19:J19"/>
    <mergeCell ref="K19:N19"/>
    <mergeCell ref="C20:E21"/>
    <mergeCell ref="F20:J21"/>
    <mergeCell ref="K20:N21"/>
    <mergeCell ref="C22:E22"/>
    <mergeCell ref="F22:J22"/>
    <mergeCell ref="K22:N22"/>
    <mergeCell ref="C23:E23"/>
    <mergeCell ref="F23:J23"/>
    <mergeCell ref="K23:N23"/>
    <mergeCell ref="C24:E24"/>
    <mergeCell ref="F24:J24"/>
    <mergeCell ref="K24:N24"/>
    <mergeCell ref="C25:E25"/>
    <mergeCell ref="F25:J25"/>
    <mergeCell ref="K25:N25"/>
    <mergeCell ref="C26:E26"/>
    <mergeCell ref="F26:J26"/>
    <mergeCell ref="K26:N26"/>
    <mergeCell ref="A27:B32"/>
    <mergeCell ref="C27:E27"/>
    <mergeCell ref="F27:J27"/>
    <mergeCell ref="K27:N27"/>
    <mergeCell ref="C28:E28"/>
    <mergeCell ref="F28:J28"/>
    <mergeCell ref="K28:N28"/>
    <mergeCell ref="A34:N34"/>
    <mergeCell ref="C29:E29"/>
    <mergeCell ref="F29:J29"/>
    <mergeCell ref="K29:N29"/>
    <mergeCell ref="C30:E30"/>
    <mergeCell ref="F30:J30"/>
    <mergeCell ref="K30:N30"/>
    <mergeCell ref="F31:J31"/>
    <mergeCell ref="K31:N31"/>
    <mergeCell ref="C32:E32"/>
    <mergeCell ref="F32:J32"/>
    <mergeCell ref="K32:N32"/>
    <mergeCell ref="L41:N41"/>
    <mergeCell ref="A35:N35"/>
    <mergeCell ref="A37:D37"/>
    <mergeCell ref="E37:I37"/>
    <mergeCell ref="J37:N37"/>
    <mergeCell ref="A38:D39"/>
    <mergeCell ref="E38:I39"/>
    <mergeCell ref="J38:N39"/>
  </mergeCells>
  <pageMargins left="0.66" right="0.26" top="0.35" bottom="0.39370078740157483" header="0" footer="0"/>
  <pageSetup scale="93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K13" sqref="K13"/>
    </sheetView>
  </sheetViews>
  <sheetFormatPr baseColWidth="10" defaultRowHeight="15"/>
  <cols>
    <col min="1" max="1" width="9.7109375" style="243" customWidth="1"/>
    <col min="2" max="5" width="11.42578125" style="243"/>
    <col min="6" max="6" width="10.5703125" style="243" customWidth="1"/>
    <col min="7" max="7" width="15.28515625" style="243" customWidth="1"/>
    <col min="8" max="8" width="9.140625" style="243" customWidth="1"/>
    <col min="9" max="16384" width="11.42578125" style="243"/>
  </cols>
  <sheetData>
    <row r="1" spans="1:13" ht="57" customHeight="1">
      <c r="G1" s="692"/>
      <c r="H1" s="692"/>
    </row>
    <row r="2" spans="1:13">
      <c r="A2" s="693" t="s">
        <v>223</v>
      </c>
      <c r="B2" s="693"/>
      <c r="C2" s="693"/>
      <c r="D2" s="693"/>
      <c r="E2" s="693"/>
      <c r="F2" s="693"/>
      <c r="G2" s="693"/>
      <c r="H2" s="693"/>
    </row>
    <row r="4" spans="1:13" ht="17.100000000000001" customHeight="1">
      <c r="A4" s="694" t="s">
        <v>349</v>
      </c>
      <c r="B4" s="695" t="str">
        <f>'INFORME ASFALTO'!C9</f>
        <v>SAN LUIS DEL CORDERO - SAN PEDRO DEL GALLO</v>
      </c>
      <c r="C4" s="696"/>
      <c r="D4" s="696"/>
      <c r="E4" s="696"/>
      <c r="F4" s="697"/>
      <c r="G4" s="704" t="s">
        <v>350</v>
      </c>
      <c r="H4" s="706">
        <f>'INFORME ASFALTO'!K9</f>
        <v>637</v>
      </c>
    </row>
    <row r="5" spans="1:13" ht="17.100000000000001" customHeight="1">
      <c r="A5" s="694"/>
      <c r="B5" s="698"/>
      <c r="C5" s="699"/>
      <c r="D5" s="699"/>
      <c r="E5" s="699"/>
      <c r="F5" s="700"/>
      <c r="G5" s="705"/>
      <c r="H5" s="707"/>
    </row>
    <row r="6" spans="1:13" ht="17.100000000000001" customHeight="1">
      <c r="A6" s="694"/>
      <c r="B6" s="698"/>
      <c r="C6" s="699"/>
      <c r="D6" s="699"/>
      <c r="E6" s="699"/>
      <c r="F6" s="700"/>
      <c r="G6" s="244" t="s">
        <v>351</v>
      </c>
      <c r="H6" s="245">
        <f>'INFORME ASFALTO'!K10</f>
        <v>42341</v>
      </c>
    </row>
    <row r="7" spans="1:13" ht="17.100000000000001" customHeight="1">
      <c r="A7" s="694"/>
      <c r="B7" s="701"/>
      <c r="C7" s="702"/>
      <c r="D7" s="702"/>
      <c r="E7" s="702"/>
      <c r="F7" s="703"/>
      <c r="G7" s="244" t="s">
        <v>352</v>
      </c>
      <c r="H7" s="245">
        <f>'INFORME ASFALTO'!K11</f>
        <v>42345</v>
      </c>
    </row>
    <row r="8" spans="1:13">
      <c r="A8" s="246"/>
      <c r="B8" s="247"/>
      <c r="C8" s="247"/>
      <c r="D8" s="247"/>
      <c r="E8" s="247"/>
      <c r="F8" s="247"/>
      <c r="G8" s="248"/>
      <c r="H8" s="249"/>
    </row>
    <row r="9" spans="1:13" ht="21" customHeight="1">
      <c r="A9" s="708" t="s">
        <v>353</v>
      </c>
      <c r="B9" s="709"/>
      <c r="C9" s="709"/>
      <c r="D9" s="709"/>
      <c r="E9" s="709"/>
      <c r="F9" s="709"/>
      <c r="G9" s="709"/>
      <c r="H9" s="710"/>
    </row>
    <row r="10" spans="1:13">
      <c r="A10" s="250"/>
      <c r="B10" s="251"/>
      <c r="C10" s="251"/>
      <c r="D10" s="251"/>
      <c r="E10" s="251"/>
      <c r="F10" s="251"/>
      <c r="G10" s="252"/>
      <c r="H10" s="245"/>
    </row>
    <row r="11" spans="1:13">
      <c r="A11" s="253"/>
      <c r="D11" s="254"/>
      <c r="E11" s="254"/>
      <c r="F11" s="254"/>
      <c r="G11" s="254"/>
      <c r="H11" s="255"/>
    </row>
    <row r="12" spans="1:13">
      <c r="A12" s="253"/>
      <c r="D12" s="254"/>
      <c r="E12" s="254"/>
      <c r="F12" s="254"/>
      <c r="G12" s="254"/>
      <c r="H12" s="255"/>
    </row>
    <row r="13" spans="1:13">
      <c r="A13" s="253"/>
      <c r="D13" s="254"/>
      <c r="E13" s="254"/>
      <c r="F13" s="254"/>
      <c r="G13" s="254"/>
      <c r="H13" s="255"/>
      <c r="I13" s="356"/>
      <c r="J13" s="356"/>
      <c r="K13" s="356"/>
      <c r="L13" s="356"/>
      <c r="M13" s="356"/>
    </row>
    <row r="14" spans="1:13">
      <c r="A14" s="253"/>
      <c r="D14" s="254"/>
      <c r="E14" s="254"/>
      <c r="F14" s="254"/>
      <c r="G14" s="254"/>
      <c r="H14" s="255"/>
      <c r="I14" s="356"/>
      <c r="J14" s="356">
        <v>170</v>
      </c>
      <c r="K14" s="356">
        <v>50</v>
      </c>
      <c r="L14" s="356"/>
      <c r="M14" s="356"/>
    </row>
    <row r="15" spans="1:13">
      <c r="A15" s="253"/>
      <c r="D15" s="254"/>
      <c r="E15" s="254"/>
      <c r="F15" s="254"/>
      <c r="G15" s="254"/>
      <c r="H15" s="255"/>
      <c r="I15" s="356"/>
      <c r="J15" s="356">
        <v>160</v>
      </c>
      <c r="K15" s="356">
        <v>75</v>
      </c>
      <c r="L15" s="356"/>
      <c r="M15" s="356"/>
    </row>
    <row r="16" spans="1:13">
      <c r="A16" s="253"/>
      <c r="D16" s="254"/>
      <c r="E16" s="254"/>
      <c r="F16" s="254"/>
      <c r="G16" s="254"/>
      <c r="H16" s="255"/>
      <c r="I16" s="356"/>
      <c r="J16" s="356">
        <v>150</v>
      </c>
      <c r="K16" s="356">
        <v>108</v>
      </c>
      <c r="L16" s="356"/>
      <c r="M16" s="356"/>
    </row>
    <row r="17" spans="1:13">
      <c r="A17" s="253"/>
      <c r="D17" s="254"/>
      <c r="E17" s="254"/>
      <c r="F17" s="254"/>
      <c r="G17" s="254"/>
      <c r="H17" s="255"/>
      <c r="I17" s="356"/>
      <c r="J17" s="356">
        <v>140</v>
      </c>
      <c r="K17" s="356">
        <v>145</v>
      </c>
      <c r="L17" s="356"/>
      <c r="M17" s="356"/>
    </row>
    <row r="18" spans="1:13">
      <c r="A18" s="253"/>
      <c r="D18" s="254"/>
      <c r="E18" s="254"/>
      <c r="F18" s="254"/>
      <c r="G18" s="254"/>
      <c r="H18" s="255"/>
      <c r="I18" s="356"/>
      <c r="J18" s="356">
        <v>130</v>
      </c>
      <c r="K18" s="356">
        <v>220</v>
      </c>
      <c r="L18" s="356"/>
      <c r="M18" s="356"/>
    </row>
    <row r="19" spans="1:13">
      <c r="A19" s="253"/>
      <c r="D19" s="254"/>
      <c r="E19" s="254"/>
      <c r="F19" s="254"/>
      <c r="G19" s="254"/>
      <c r="H19" s="255"/>
      <c r="I19" s="356"/>
      <c r="J19" s="356">
        <v>120</v>
      </c>
      <c r="K19" s="356">
        <v>250</v>
      </c>
      <c r="L19" s="356"/>
      <c r="M19" s="356"/>
    </row>
    <row r="20" spans="1:13">
      <c r="A20" s="253"/>
      <c r="D20" s="254"/>
      <c r="E20" s="254"/>
      <c r="F20" s="254"/>
      <c r="G20" s="254"/>
      <c r="H20" s="255"/>
      <c r="I20" s="356"/>
      <c r="J20" s="356">
        <v>110</v>
      </c>
      <c r="K20" s="356">
        <v>300</v>
      </c>
      <c r="L20" s="356"/>
      <c r="M20" s="356"/>
    </row>
    <row r="21" spans="1:13">
      <c r="A21" s="253"/>
      <c r="D21" s="254"/>
      <c r="E21" s="254"/>
      <c r="F21" s="254"/>
      <c r="G21" s="254"/>
      <c r="H21" s="255"/>
      <c r="I21" s="356"/>
      <c r="J21" s="356">
        <v>100</v>
      </c>
      <c r="K21" s="356">
        <v>300</v>
      </c>
      <c r="L21" s="356"/>
      <c r="M21" s="356"/>
    </row>
    <row r="22" spans="1:13">
      <c r="A22" s="253"/>
      <c r="D22" s="254"/>
      <c r="E22" s="254"/>
      <c r="F22" s="254"/>
      <c r="G22" s="254"/>
      <c r="H22" s="255"/>
      <c r="I22" s="356"/>
      <c r="J22" s="356"/>
      <c r="K22" s="356"/>
      <c r="L22" s="356"/>
      <c r="M22" s="356"/>
    </row>
    <row r="23" spans="1:13">
      <c r="A23" s="253"/>
      <c r="D23" s="254"/>
      <c r="E23" s="254"/>
      <c r="F23" s="254"/>
      <c r="G23" s="254"/>
      <c r="H23" s="255"/>
      <c r="I23" s="356"/>
      <c r="J23" s="356"/>
      <c r="K23" s="356"/>
      <c r="L23" s="356"/>
      <c r="M23" s="356"/>
    </row>
    <row r="24" spans="1:13">
      <c r="A24" s="253"/>
      <c r="D24" s="254"/>
      <c r="E24" s="254"/>
      <c r="F24" s="254"/>
      <c r="G24" s="254"/>
      <c r="H24" s="255"/>
      <c r="I24" s="356"/>
      <c r="J24" s="356"/>
      <c r="K24" s="356"/>
      <c r="L24" s="356"/>
      <c r="M24" s="356"/>
    </row>
    <row r="25" spans="1:13">
      <c r="A25" s="253"/>
      <c r="B25" s="254"/>
      <c r="C25" s="254"/>
      <c r="D25" s="254"/>
      <c r="E25" s="254"/>
      <c r="F25" s="254"/>
      <c r="G25" s="254"/>
      <c r="H25" s="255"/>
      <c r="I25" s="356"/>
      <c r="J25" s="356"/>
      <c r="K25" s="356"/>
      <c r="L25" s="356"/>
      <c r="M25" s="356"/>
    </row>
    <row r="26" spans="1:13">
      <c r="A26" s="253"/>
      <c r="B26" s="254"/>
      <c r="C26" s="254"/>
      <c r="D26" s="254"/>
      <c r="E26" s="254"/>
      <c r="F26" s="254"/>
      <c r="G26" s="254"/>
      <c r="H26" s="255"/>
      <c r="I26" s="356"/>
      <c r="J26" s="356"/>
      <c r="K26" s="356"/>
      <c r="L26" s="356"/>
      <c r="M26" s="356"/>
    </row>
    <row r="27" spans="1:13">
      <c r="A27" s="253"/>
      <c r="B27" s="254"/>
      <c r="C27" s="254"/>
      <c r="D27" s="254"/>
      <c r="E27" s="254"/>
      <c r="F27" s="254"/>
      <c r="G27" s="254"/>
      <c r="H27" s="255"/>
      <c r="I27" s="356"/>
      <c r="J27" s="356"/>
      <c r="K27" s="356"/>
      <c r="L27" s="356"/>
      <c r="M27" s="356"/>
    </row>
    <row r="28" spans="1:13">
      <c r="A28" s="253"/>
      <c r="B28" s="254"/>
      <c r="C28" s="254"/>
      <c r="D28" s="254"/>
      <c r="E28" s="254"/>
      <c r="F28" s="254"/>
      <c r="G28" s="254"/>
      <c r="H28" s="255"/>
      <c r="I28" s="356"/>
      <c r="J28" s="356"/>
      <c r="K28" s="356"/>
      <c r="L28" s="356"/>
      <c r="M28" s="356"/>
    </row>
    <row r="29" spans="1:13">
      <c r="A29" s="253"/>
      <c r="B29" s="254"/>
      <c r="C29" s="254"/>
      <c r="D29" s="254"/>
      <c r="E29" s="254"/>
      <c r="F29" s="254"/>
      <c r="G29" s="254"/>
      <c r="H29" s="255"/>
      <c r="I29" s="356"/>
      <c r="J29" s="356"/>
      <c r="K29" s="356"/>
      <c r="L29" s="356"/>
      <c r="M29" s="356"/>
    </row>
    <row r="30" spans="1:13">
      <c r="A30" s="253"/>
      <c r="B30" s="254"/>
      <c r="C30" s="254"/>
      <c r="D30" s="254"/>
      <c r="E30" s="254"/>
      <c r="F30" s="254"/>
      <c r="G30" s="254"/>
      <c r="H30" s="255"/>
      <c r="I30" s="356"/>
      <c r="J30" s="356"/>
      <c r="K30" s="356"/>
      <c r="L30" s="356"/>
      <c r="M30" s="356"/>
    </row>
    <row r="31" spans="1:13" ht="12.75" customHeight="1">
      <c r="A31" s="253"/>
      <c r="B31" s="254"/>
      <c r="C31" s="254"/>
      <c r="D31" s="254"/>
      <c r="E31" s="254"/>
      <c r="F31" s="254"/>
      <c r="G31" s="254"/>
      <c r="H31" s="255"/>
      <c r="I31" s="356"/>
      <c r="J31" s="356"/>
      <c r="K31" s="356"/>
      <c r="L31" s="356"/>
      <c r="M31" s="356"/>
    </row>
    <row r="32" spans="1:13">
      <c r="A32" s="253"/>
      <c r="B32" s="711" t="s">
        <v>354</v>
      </c>
      <c r="C32" s="712"/>
      <c r="D32" s="712"/>
      <c r="E32" s="713"/>
      <c r="F32" s="256" t="s">
        <v>355</v>
      </c>
      <c r="G32" s="257" t="s">
        <v>356</v>
      </c>
      <c r="H32" s="255"/>
      <c r="I32" s="356"/>
      <c r="J32" s="356"/>
      <c r="K32" s="356"/>
      <c r="L32" s="356"/>
      <c r="M32" s="356"/>
    </row>
    <row r="33" spans="1:8" ht="17.25">
      <c r="A33" s="253"/>
      <c r="B33" s="714" t="s">
        <v>357</v>
      </c>
      <c r="C33" s="715"/>
      <c r="D33" s="715"/>
      <c r="E33" s="715"/>
      <c r="F33" s="258">
        <v>149</v>
      </c>
      <c r="G33" s="259">
        <v>157</v>
      </c>
      <c r="H33" s="255"/>
    </row>
    <row r="34" spans="1:8" ht="17.25">
      <c r="A34" s="253"/>
      <c r="B34" s="714" t="s">
        <v>358</v>
      </c>
      <c r="C34" s="715"/>
      <c r="D34" s="715"/>
      <c r="E34" s="715"/>
      <c r="F34" s="258">
        <v>138</v>
      </c>
      <c r="G34" s="259">
        <v>142</v>
      </c>
      <c r="H34" s="255"/>
    </row>
    <row r="35" spans="1:8">
      <c r="A35" s="253"/>
      <c r="B35" s="689" t="s">
        <v>359</v>
      </c>
      <c r="C35" s="690"/>
      <c r="D35" s="690"/>
      <c r="E35" s="690"/>
      <c r="F35" s="690"/>
      <c r="G35" s="691"/>
      <c r="H35" s="255"/>
    </row>
    <row r="36" spans="1:8" ht="7.5" customHeight="1">
      <c r="A36" s="253"/>
      <c r="B36" s="254"/>
      <c r="C36" s="254"/>
      <c r="D36" s="254"/>
      <c r="E36" s="254"/>
      <c r="F36" s="254"/>
      <c r="G36" s="254"/>
      <c r="H36" s="255"/>
    </row>
    <row r="37" spans="1:8" ht="3" customHeight="1">
      <c r="A37" s="260"/>
      <c r="B37" s="261"/>
      <c r="C37" s="261"/>
      <c r="D37" s="261"/>
      <c r="E37" s="261"/>
      <c r="F37" s="261"/>
      <c r="G37" s="261"/>
      <c r="H37" s="262"/>
    </row>
    <row r="38" spans="1:8">
      <c r="A38" s="676" t="s">
        <v>165</v>
      </c>
      <c r="B38" s="677"/>
      <c r="C38" s="677"/>
      <c r="D38" s="676" t="s">
        <v>12</v>
      </c>
      <c r="E38" s="677"/>
      <c r="F38" s="678"/>
      <c r="G38" s="677" t="str">
        <f>'INFORME ASFALTO'!J37</f>
        <v>Vo. Bo.</v>
      </c>
      <c r="H38" s="678"/>
    </row>
    <row r="39" spans="1:8">
      <c r="A39" s="263"/>
      <c r="B39" s="264"/>
      <c r="C39" s="264"/>
      <c r="D39" s="263"/>
      <c r="E39" s="264"/>
      <c r="F39" s="265"/>
      <c r="G39" s="264"/>
      <c r="H39" s="265"/>
    </row>
    <row r="40" spans="1:8" ht="15" customHeight="1">
      <c r="A40" s="683" t="str">
        <f>'INFORME ASFALTO'!A38</f>
        <v>C. JULIO CESAR GARCIA RODRIGUEZ</v>
      </c>
      <c r="B40" s="684"/>
      <c r="C40" s="685"/>
      <c r="D40" s="683" t="str">
        <f>'INFORME ASFALTO'!E38</f>
        <v>ING. JOSE LUIS TAMAYO AMAYA</v>
      </c>
      <c r="E40" s="684"/>
      <c r="F40" s="685"/>
      <c r="G40" s="679" t="str">
        <f>'INFORME ASFALTO'!J38</f>
        <v>ARQ. CARLOS G. TAMAYO AMAYA</v>
      </c>
      <c r="H40" s="680"/>
    </row>
    <row r="41" spans="1:8" ht="15" customHeight="1">
      <c r="A41" s="683"/>
      <c r="B41" s="684"/>
      <c r="C41" s="685"/>
      <c r="D41" s="683"/>
      <c r="E41" s="684"/>
      <c r="F41" s="685"/>
      <c r="G41" s="679"/>
      <c r="H41" s="680"/>
    </row>
    <row r="42" spans="1:8">
      <c r="A42" s="686"/>
      <c r="B42" s="687"/>
      <c r="C42" s="688"/>
      <c r="D42" s="686"/>
      <c r="E42" s="687"/>
      <c r="F42" s="688"/>
      <c r="G42" s="681"/>
      <c r="H42" s="682"/>
    </row>
    <row r="43" spans="1:8" ht="4.5" customHeight="1">
      <c r="A43" s="254"/>
      <c r="B43" s="254"/>
      <c r="C43" s="254"/>
      <c r="D43" s="254"/>
      <c r="E43" s="254"/>
      <c r="F43" s="254"/>
      <c r="G43" s="254"/>
      <c r="H43" s="254"/>
    </row>
    <row r="44" spans="1:8">
      <c r="A44" s="266"/>
      <c r="B44" s="266"/>
      <c r="C44" s="266"/>
      <c r="D44" s="266"/>
      <c r="E44" s="266"/>
      <c r="F44" s="266"/>
      <c r="G44" s="675" t="s">
        <v>360</v>
      </c>
      <c r="H44" s="675"/>
    </row>
  </sheetData>
  <mergeCells count="18">
    <mergeCell ref="B35:G35"/>
    <mergeCell ref="G1:H1"/>
    <mergeCell ref="A2:H2"/>
    <mergeCell ref="A4:A7"/>
    <mergeCell ref="B4:F7"/>
    <mergeCell ref="G4:G5"/>
    <mergeCell ref="H4:H5"/>
    <mergeCell ref="A9:H9"/>
    <mergeCell ref="B32:E32"/>
    <mergeCell ref="B33:E33"/>
    <mergeCell ref="B34:E34"/>
    <mergeCell ref="G44:H44"/>
    <mergeCell ref="A38:C38"/>
    <mergeCell ref="D38:F38"/>
    <mergeCell ref="G38:H38"/>
    <mergeCell ref="G40:H42"/>
    <mergeCell ref="D40:F42"/>
    <mergeCell ref="A40:C4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J59"/>
  <sheetViews>
    <sheetView view="pageBreakPreview" topLeftCell="A7" zoomScaleNormal="100" zoomScaleSheetLayoutView="100" workbookViewId="0">
      <selection activeCell="D21" sqref="D21:E22"/>
    </sheetView>
  </sheetViews>
  <sheetFormatPr baseColWidth="10" defaultRowHeight="12.75"/>
  <cols>
    <col min="1" max="1" width="24.85546875" style="162" customWidth="1"/>
    <col min="2" max="4" width="10.7109375" style="162" customWidth="1"/>
    <col min="5" max="5" width="10.85546875" style="162" customWidth="1"/>
    <col min="6" max="6" width="14.7109375" style="162" customWidth="1"/>
    <col min="7" max="7" width="10.85546875" style="162" customWidth="1"/>
    <col min="8" max="16384" width="11.42578125" style="162"/>
  </cols>
  <sheetData>
    <row r="1" spans="1:8" ht="13.5" customHeight="1"/>
    <row r="2" spans="1:8" ht="13.5" customHeight="1"/>
    <row r="3" spans="1:8" ht="13.5" customHeight="1">
      <c r="F3" s="779"/>
      <c r="G3" s="779"/>
    </row>
    <row r="4" spans="1:8" ht="13.5" customHeight="1">
      <c r="A4" s="780" t="s">
        <v>223</v>
      </c>
      <c r="B4" s="780"/>
      <c r="C4" s="780"/>
      <c r="D4" s="780"/>
      <c r="E4" s="780"/>
      <c r="F4" s="780"/>
      <c r="G4" s="780"/>
    </row>
    <row r="5" spans="1:8" ht="8.25" customHeight="1">
      <c r="B5" s="163"/>
      <c r="C5" s="163"/>
    </row>
    <row r="6" spans="1:8" ht="13.5" customHeight="1">
      <c r="A6" s="781" t="s">
        <v>14</v>
      </c>
      <c r="B6" s="784" t="str">
        <f>'INFORME ASFALTO'!C9</f>
        <v>SAN LUIS DEL CORDERO - SAN PEDRO DEL GALLO</v>
      </c>
      <c r="C6" s="785"/>
      <c r="D6" s="785"/>
      <c r="E6" s="786"/>
      <c r="F6" s="164" t="s">
        <v>224</v>
      </c>
      <c r="G6" s="165">
        <f>'INFORME ASFALTO'!K9</f>
        <v>637</v>
      </c>
      <c r="H6" s="166"/>
    </row>
    <row r="7" spans="1:8" ht="13.5" customHeight="1">
      <c r="A7" s="782"/>
      <c r="B7" s="787"/>
      <c r="C7" s="788"/>
      <c r="D7" s="788"/>
      <c r="E7" s="789"/>
      <c r="F7" s="167" t="s">
        <v>225</v>
      </c>
      <c r="G7" s="168">
        <f>'INFORME ASFALTO'!K10</f>
        <v>42341</v>
      </c>
      <c r="H7" s="169"/>
    </row>
    <row r="8" spans="1:8" ht="13.5" customHeight="1">
      <c r="A8" s="782"/>
      <c r="B8" s="787"/>
      <c r="C8" s="788"/>
      <c r="D8" s="788"/>
      <c r="E8" s="789"/>
      <c r="F8" s="167" t="s">
        <v>58</v>
      </c>
      <c r="G8" s="168">
        <f>'INFORME ASFALTO'!K11</f>
        <v>42345</v>
      </c>
      <c r="H8" s="169"/>
    </row>
    <row r="9" spans="1:8" ht="28.5" customHeight="1">
      <c r="A9" s="783"/>
      <c r="B9" s="790"/>
      <c r="C9" s="791"/>
      <c r="D9" s="791"/>
      <c r="E9" s="792"/>
      <c r="F9" s="170"/>
      <c r="G9" s="171"/>
      <c r="H9" s="169"/>
    </row>
    <row r="10" spans="1:8" ht="13.5" customHeight="1">
      <c r="A10" s="172" t="s">
        <v>57</v>
      </c>
      <c r="B10" s="793" t="str">
        <f>'INFORME ASFALTO'!D15</f>
        <v>PLANTA CRIBISA EN LERDO, DGO.</v>
      </c>
      <c r="C10" s="793"/>
      <c r="D10" s="793"/>
      <c r="E10" s="793"/>
      <c r="F10" s="793"/>
      <c r="G10" s="794"/>
    </row>
    <row r="11" spans="1:8" ht="13.5" customHeight="1">
      <c r="A11" s="173" t="s">
        <v>226</v>
      </c>
      <c r="B11" s="768" t="s">
        <v>227</v>
      </c>
      <c r="C11" s="768"/>
      <c r="D11" s="768"/>
      <c r="E11" s="768"/>
      <c r="F11" s="768"/>
      <c r="G11" s="769"/>
    </row>
    <row r="12" spans="1:8" ht="18" customHeight="1">
      <c r="A12" s="770" t="s">
        <v>228</v>
      </c>
      <c r="B12" s="770"/>
      <c r="C12" s="770"/>
      <c r="D12" s="770"/>
      <c r="E12" s="770"/>
      <c r="F12" s="770"/>
      <c r="G12" s="770"/>
    </row>
    <row r="13" spans="1:8" ht="12" customHeight="1">
      <c r="A13" s="743" t="s">
        <v>229</v>
      </c>
      <c r="B13" s="743"/>
      <c r="C13" s="743"/>
      <c r="D13" s="771">
        <v>325</v>
      </c>
      <c r="E13" s="772"/>
      <c r="F13" s="775"/>
      <c r="G13" s="776"/>
    </row>
    <row r="14" spans="1:8" ht="12" customHeight="1">
      <c r="A14" s="743"/>
      <c r="B14" s="743"/>
      <c r="C14" s="743"/>
      <c r="D14" s="773"/>
      <c r="E14" s="774"/>
      <c r="F14" s="777"/>
      <c r="G14" s="778"/>
    </row>
    <row r="15" spans="1:8" ht="12" customHeight="1">
      <c r="A15" s="743" t="s">
        <v>230</v>
      </c>
      <c r="B15" s="759"/>
      <c r="C15" s="759"/>
      <c r="D15" s="760">
        <v>1874</v>
      </c>
      <c r="E15" s="761"/>
      <c r="F15" s="755">
        <f>D15-D13</f>
        <v>1549</v>
      </c>
      <c r="G15" s="756"/>
    </row>
    <row r="16" spans="1:8" ht="12" customHeight="1">
      <c r="A16" s="759"/>
      <c r="B16" s="759"/>
      <c r="C16" s="759"/>
      <c r="D16" s="762"/>
      <c r="E16" s="763"/>
      <c r="F16" s="757"/>
      <c r="G16" s="758"/>
    </row>
    <row r="17" spans="1:10" ht="12" customHeight="1">
      <c r="A17" s="743" t="s">
        <v>231</v>
      </c>
      <c r="B17" s="743"/>
      <c r="C17" s="743"/>
      <c r="D17" s="744">
        <v>966</v>
      </c>
      <c r="E17" s="745"/>
      <c r="F17" s="764"/>
      <c r="G17" s="765"/>
    </row>
    <row r="18" spans="1:10" ht="12" customHeight="1">
      <c r="A18" s="743"/>
      <c r="B18" s="743"/>
      <c r="C18" s="743"/>
      <c r="D18" s="746"/>
      <c r="E18" s="747"/>
      <c r="F18" s="766"/>
      <c r="G18" s="767"/>
    </row>
    <row r="19" spans="1:10" ht="12" customHeight="1">
      <c r="A19" s="743" t="s">
        <v>232</v>
      </c>
      <c r="B19" s="743"/>
      <c r="C19" s="743"/>
      <c r="D19" s="744">
        <f>F15-D17</f>
        <v>583</v>
      </c>
      <c r="E19" s="745"/>
      <c r="F19" s="755"/>
      <c r="G19" s="756"/>
    </row>
    <row r="20" spans="1:10" ht="12" customHeight="1">
      <c r="A20" s="743"/>
      <c r="B20" s="743"/>
      <c r="C20" s="743"/>
      <c r="D20" s="746"/>
      <c r="E20" s="747"/>
      <c r="F20" s="757"/>
      <c r="G20" s="758"/>
    </row>
    <row r="21" spans="1:10" ht="12" customHeight="1">
      <c r="A21" s="743" t="s">
        <v>233</v>
      </c>
      <c r="B21" s="743"/>
      <c r="C21" s="743"/>
      <c r="D21" s="744">
        <v>250</v>
      </c>
      <c r="E21" s="745"/>
      <c r="F21" s="753"/>
      <c r="G21" s="749"/>
    </row>
    <row r="22" spans="1:10" ht="12" customHeight="1">
      <c r="A22" s="743"/>
      <c r="B22" s="743"/>
      <c r="C22" s="743"/>
      <c r="D22" s="746"/>
      <c r="E22" s="747"/>
      <c r="F22" s="750"/>
      <c r="G22" s="751"/>
    </row>
    <row r="23" spans="1:10" ht="12" customHeight="1">
      <c r="A23" s="743" t="s">
        <v>234</v>
      </c>
      <c r="B23" s="743"/>
      <c r="C23" s="743"/>
      <c r="D23" s="744">
        <v>1475</v>
      </c>
      <c r="E23" s="745"/>
      <c r="F23" s="753"/>
      <c r="G23" s="749"/>
    </row>
    <row r="24" spans="1:10" ht="12" customHeight="1">
      <c r="A24" s="743"/>
      <c r="B24" s="743"/>
      <c r="C24" s="743"/>
      <c r="D24" s="746"/>
      <c r="E24" s="747"/>
      <c r="F24" s="750"/>
      <c r="G24" s="751"/>
    </row>
    <row r="25" spans="1:10" ht="12" customHeight="1">
      <c r="A25" s="743" t="s">
        <v>235</v>
      </c>
      <c r="B25" s="754"/>
      <c r="C25" s="754"/>
      <c r="D25" s="744">
        <f>D23-D21</f>
        <v>1225</v>
      </c>
      <c r="E25" s="745"/>
      <c r="F25" s="753"/>
      <c r="G25" s="749"/>
    </row>
    <row r="26" spans="1:10" ht="12" customHeight="1">
      <c r="A26" s="754"/>
      <c r="B26" s="754"/>
      <c r="C26" s="754"/>
      <c r="D26" s="746"/>
      <c r="E26" s="747"/>
      <c r="F26" s="750"/>
      <c r="G26" s="751"/>
      <c r="I26" s="728"/>
      <c r="J26" s="728"/>
    </row>
    <row r="27" spans="1:10" ht="12" customHeight="1">
      <c r="A27" s="743" t="s">
        <v>236</v>
      </c>
      <c r="B27" s="743"/>
      <c r="C27" s="743"/>
      <c r="D27" s="744">
        <v>2966.8</v>
      </c>
      <c r="E27" s="745"/>
      <c r="F27" s="748"/>
      <c r="G27" s="749"/>
      <c r="I27" s="728"/>
      <c r="J27" s="728"/>
    </row>
    <row r="28" spans="1:10" ht="12" customHeight="1">
      <c r="A28" s="743"/>
      <c r="B28" s="743"/>
      <c r="C28" s="743"/>
      <c r="D28" s="746"/>
      <c r="E28" s="747"/>
      <c r="F28" s="750"/>
      <c r="G28" s="751"/>
    </row>
    <row r="29" spans="1:10" ht="12" customHeight="1">
      <c r="A29" s="743" t="s">
        <v>237</v>
      </c>
      <c r="B29" s="743"/>
      <c r="C29" s="743"/>
      <c r="D29" s="752">
        <v>1005</v>
      </c>
      <c r="E29" s="752"/>
      <c r="F29" s="743"/>
      <c r="G29" s="743"/>
    </row>
    <row r="30" spans="1:10" ht="12" customHeight="1">
      <c r="A30" s="743"/>
      <c r="B30" s="743"/>
      <c r="C30" s="743"/>
      <c r="D30" s="752"/>
      <c r="E30" s="752"/>
      <c r="F30" s="743"/>
      <c r="G30" s="743"/>
    </row>
    <row r="31" spans="1:10" ht="12" customHeight="1">
      <c r="A31" s="738"/>
      <c r="B31" s="738"/>
      <c r="C31" s="738"/>
      <c r="D31" s="739"/>
      <c r="E31" s="739"/>
      <c r="F31" s="728"/>
      <c r="G31" s="732"/>
    </row>
    <row r="32" spans="1:10" ht="12" customHeight="1">
      <c r="A32" s="738"/>
      <c r="B32" s="738"/>
      <c r="C32" s="738"/>
      <c r="D32" s="739"/>
      <c r="E32" s="739"/>
      <c r="F32" s="728"/>
      <c r="G32" s="732"/>
    </row>
    <row r="33" spans="1:7" ht="12" customHeight="1">
      <c r="A33" s="738"/>
      <c r="B33" s="738"/>
      <c r="C33" s="738"/>
      <c r="D33" s="174"/>
      <c r="E33" s="174"/>
      <c r="F33" s="175"/>
      <c r="G33" s="176"/>
    </row>
    <row r="34" spans="1:7" ht="12" customHeight="1">
      <c r="A34" s="177"/>
      <c r="B34" s="717" t="s">
        <v>238</v>
      </c>
      <c r="C34" s="718"/>
      <c r="D34" s="740">
        <f>F15/D19</f>
        <v>2.6569468267581473</v>
      </c>
      <c r="E34" s="741"/>
      <c r="F34" s="741"/>
      <c r="G34" s="742"/>
    </row>
    <row r="35" spans="1:7" ht="12" customHeight="1">
      <c r="A35" s="734" t="s">
        <v>239</v>
      </c>
      <c r="B35" s="735"/>
      <c r="C35" s="735"/>
      <c r="D35" s="737">
        <v>1144</v>
      </c>
      <c r="E35" s="737"/>
      <c r="F35" s="737"/>
      <c r="G35" s="737"/>
    </row>
    <row r="36" spans="1:7" ht="12" customHeight="1">
      <c r="A36" s="736"/>
      <c r="B36" s="736"/>
      <c r="C36" s="736"/>
      <c r="D36" s="737"/>
      <c r="E36" s="737"/>
      <c r="F36" s="737"/>
      <c r="G36" s="737"/>
    </row>
    <row r="37" spans="1:7" ht="12" customHeight="1">
      <c r="A37" s="725" t="s">
        <v>240</v>
      </c>
      <c r="B37" s="726"/>
      <c r="C37" s="731"/>
      <c r="D37" s="725">
        <v>345.3</v>
      </c>
      <c r="E37" s="731"/>
      <c r="F37" s="725"/>
      <c r="G37" s="731"/>
    </row>
    <row r="38" spans="1:7" ht="12" customHeight="1">
      <c r="A38" s="729"/>
      <c r="B38" s="730"/>
      <c r="C38" s="733"/>
      <c r="D38" s="729"/>
      <c r="E38" s="733"/>
      <c r="F38" s="729"/>
      <c r="G38" s="733"/>
    </row>
    <row r="39" spans="1:7" ht="12" customHeight="1">
      <c r="A39" s="724" t="s">
        <v>241</v>
      </c>
      <c r="B39" s="724"/>
      <c r="C39" s="724"/>
      <c r="D39" s="724">
        <v>1052.5</v>
      </c>
      <c r="E39" s="724"/>
      <c r="F39" s="724"/>
      <c r="G39" s="724"/>
    </row>
    <row r="40" spans="1:7" ht="12" customHeight="1">
      <c r="A40" s="724"/>
      <c r="B40" s="724"/>
      <c r="C40" s="724"/>
      <c r="D40" s="724"/>
      <c r="E40" s="724"/>
      <c r="F40" s="724"/>
      <c r="G40" s="724"/>
    </row>
    <row r="41" spans="1:7" ht="12" customHeight="1">
      <c r="A41" s="725"/>
      <c r="B41" s="726"/>
      <c r="C41" s="726"/>
      <c r="D41" s="726"/>
      <c r="E41" s="726"/>
      <c r="F41" s="726"/>
      <c r="G41" s="731"/>
    </row>
    <row r="42" spans="1:7" ht="12" customHeight="1">
      <c r="A42" s="727"/>
      <c r="B42" s="728"/>
      <c r="C42" s="728"/>
      <c r="D42" s="728"/>
      <c r="E42" s="728"/>
      <c r="F42" s="728"/>
      <c r="G42" s="732"/>
    </row>
    <row r="43" spans="1:7" ht="12" customHeight="1">
      <c r="A43" s="729"/>
      <c r="B43" s="730"/>
      <c r="C43" s="730"/>
      <c r="D43" s="730"/>
      <c r="E43" s="730"/>
      <c r="F43" s="730"/>
      <c r="G43" s="733"/>
    </row>
    <row r="44" spans="1:7" ht="12" customHeight="1">
      <c r="A44" s="178"/>
      <c r="B44" s="717" t="s">
        <v>238</v>
      </c>
      <c r="C44" s="718"/>
      <c r="D44" s="719">
        <v>2.62</v>
      </c>
      <c r="E44" s="720"/>
      <c r="F44" s="720"/>
      <c r="G44" s="721"/>
    </row>
    <row r="45" spans="1:7" ht="13.5" customHeight="1"/>
    <row r="46" spans="1:7" ht="13.5" customHeight="1"/>
    <row r="47" spans="1:7" ht="13.5" customHeight="1"/>
    <row r="48" spans="1:7" ht="13.5" customHeight="1"/>
    <row r="49" spans="1:7" ht="13.5" customHeight="1">
      <c r="A49" s="179" t="str">
        <f>'INFORME PETREO FISICO'!B64</f>
        <v>C. JULIO CESAR GARCIA RODRIGUEZ</v>
      </c>
      <c r="B49" s="722" t="str">
        <f>'INFORME PETREO FISICO'!G64</f>
        <v>ING. JOSE LUIS TAMAYO AMAYA</v>
      </c>
      <c r="C49" s="722"/>
      <c r="D49" s="722"/>
      <c r="E49" s="722" t="str">
        <f>'INFORME PETREO FISICO'!S64</f>
        <v>ARQ. CARLOS G. TAMAYO AMAYA</v>
      </c>
      <c r="F49" s="722"/>
      <c r="G49" s="722"/>
    </row>
    <row r="50" spans="1:7" ht="13.5" customHeight="1">
      <c r="A50" s="180" t="s">
        <v>165</v>
      </c>
      <c r="B50" s="723" t="s">
        <v>12</v>
      </c>
      <c r="C50" s="723"/>
      <c r="D50" s="723"/>
      <c r="E50" s="723" t="s">
        <v>361</v>
      </c>
      <c r="F50" s="723"/>
      <c r="G50" s="723"/>
    </row>
    <row r="51" spans="1:7" ht="13.5" customHeight="1">
      <c r="A51" s="716" t="s">
        <v>242</v>
      </c>
      <c r="B51" s="716"/>
      <c r="C51" s="716"/>
      <c r="D51" s="716"/>
      <c r="E51" s="716"/>
      <c r="F51" s="716"/>
      <c r="G51" s="716"/>
    </row>
    <row r="52" spans="1:7" ht="13.5" customHeight="1">
      <c r="A52" s="180"/>
      <c r="B52" s="181"/>
      <c r="C52" s="181"/>
      <c r="D52" s="181"/>
      <c r="E52" s="181"/>
      <c r="F52" s="181"/>
    </row>
    <row r="53" spans="1:7" ht="13.5" customHeight="1">
      <c r="A53" s="180"/>
      <c r="B53" s="181"/>
      <c r="C53" s="181"/>
      <c r="D53" s="181"/>
      <c r="E53" s="181"/>
      <c r="F53" s="181"/>
    </row>
    <row r="54" spans="1:7" ht="13.5" customHeight="1">
      <c r="A54" s="182"/>
      <c r="B54" s="182"/>
      <c r="C54" s="182"/>
      <c r="D54" s="182"/>
      <c r="E54" s="182"/>
      <c r="F54" s="182"/>
      <c r="G54" s="182"/>
    </row>
    <row r="55" spans="1:7" ht="13.5" customHeight="1"/>
    <row r="56" spans="1:7" ht="13.5" customHeight="1"/>
    <row r="57" spans="1:7" ht="13.5" customHeight="1"/>
    <row r="58" spans="1:7" ht="13.5" customHeight="1"/>
    <row r="59" spans="1:7" ht="13.5" customHeight="1"/>
  </sheetData>
  <mergeCells count="63">
    <mergeCell ref="F3:G3"/>
    <mergeCell ref="A4:G4"/>
    <mergeCell ref="A6:A9"/>
    <mergeCell ref="B6:E9"/>
    <mergeCell ref="B10:G10"/>
    <mergeCell ref="B11:G11"/>
    <mergeCell ref="A12:G12"/>
    <mergeCell ref="A13:C14"/>
    <mergeCell ref="D13:E14"/>
    <mergeCell ref="F13:G14"/>
    <mergeCell ref="A15:C16"/>
    <mergeCell ref="D15:E16"/>
    <mergeCell ref="F15:G16"/>
    <mergeCell ref="A17:C18"/>
    <mergeCell ref="D17:E18"/>
    <mergeCell ref="F17:G18"/>
    <mergeCell ref="A19:C20"/>
    <mergeCell ref="D19:E20"/>
    <mergeCell ref="F19:G20"/>
    <mergeCell ref="A21:C22"/>
    <mergeCell ref="D21:E22"/>
    <mergeCell ref="F21:G22"/>
    <mergeCell ref="A23:C24"/>
    <mergeCell ref="D23:E24"/>
    <mergeCell ref="F23:G24"/>
    <mergeCell ref="A25:C26"/>
    <mergeCell ref="D25:E26"/>
    <mergeCell ref="F25:G26"/>
    <mergeCell ref="I26:J27"/>
    <mergeCell ref="A27:C28"/>
    <mergeCell ref="D27:E28"/>
    <mergeCell ref="F27:G28"/>
    <mergeCell ref="A29:C30"/>
    <mergeCell ref="D29:E30"/>
    <mergeCell ref="F29:G30"/>
    <mergeCell ref="A31:C33"/>
    <mergeCell ref="D31:E32"/>
    <mergeCell ref="F31:G32"/>
    <mergeCell ref="B34:C34"/>
    <mergeCell ref="D34:E34"/>
    <mergeCell ref="F34:G34"/>
    <mergeCell ref="A35:C36"/>
    <mergeCell ref="D35:E36"/>
    <mergeCell ref="F35:G36"/>
    <mergeCell ref="A37:C38"/>
    <mergeCell ref="D37:E38"/>
    <mergeCell ref="F37:G38"/>
    <mergeCell ref="A39:C40"/>
    <mergeCell ref="D39:E40"/>
    <mergeCell ref="F39:G40"/>
    <mergeCell ref="A41:C43"/>
    <mergeCell ref="D41:E42"/>
    <mergeCell ref="F41:G42"/>
    <mergeCell ref="D43:E43"/>
    <mergeCell ref="F43:G43"/>
    <mergeCell ref="A51:G51"/>
    <mergeCell ref="B44:C44"/>
    <mergeCell ref="D44:E44"/>
    <mergeCell ref="F44:G44"/>
    <mergeCell ref="B49:D49"/>
    <mergeCell ref="E49:G49"/>
    <mergeCell ref="B50:D50"/>
    <mergeCell ref="E50:G50"/>
  </mergeCells>
  <printOptions horizontalCentered="1"/>
  <pageMargins left="0.5" right="0.21" top="0.75" bottom="0.75" header="0.3" footer="0.3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10" zoomScale="140" zoomScaleNormal="140" workbookViewId="0">
      <selection activeCell="G2" sqref="G2"/>
    </sheetView>
  </sheetViews>
  <sheetFormatPr baseColWidth="10" defaultRowHeight="15"/>
  <cols>
    <col min="1" max="1" width="5" style="321" customWidth="1"/>
    <col min="2" max="2" width="2.7109375" style="321" customWidth="1"/>
    <col min="3" max="3" width="5.140625" style="321" customWidth="1"/>
    <col min="4" max="4" width="3.85546875" style="321" customWidth="1"/>
    <col min="5" max="5" width="7.140625" style="321" customWidth="1"/>
    <col min="6" max="6" width="4.28515625" style="321" customWidth="1"/>
    <col min="7" max="7" width="5.7109375" style="321" customWidth="1"/>
    <col min="8" max="8" width="5.5703125" style="321" customWidth="1"/>
    <col min="9" max="9" width="4.7109375" style="321" customWidth="1"/>
    <col min="10" max="10" width="3.140625" style="321" customWidth="1"/>
    <col min="11" max="11" width="4.5703125" style="321" customWidth="1"/>
    <col min="12" max="13" width="4.7109375" style="321" customWidth="1"/>
    <col min="14" max="14" width="4.28515625" style="321" customWidth="1"/>
    <col min="15" max="15" width="5" style="321" customWidth="1"/>
    <col min="16" max="16" width="6.140625" style="321" customWidth="1"/>
    <col min="17" max="17" width="3.7109375" style="382" customWidth="1"/>
    <col min="18" max="18" width="4.140625" style="321" customWidth="1"/>
    <col min="19" max="19" width="6.42578125" style="321" customWidth="1"/>
    <col min="20" max="20" width="3.85546875" style="321" customWidth="1"/>
    <col min="21" max="21" width="4.85546875" style="321" customWidth="1"/>
    <col min="22" max="22" width="4.5703125" style="321" customWidth="1"/>
    <col min="23" max="24" width="4.85546875" style="321" customWidth="1"/>
    <col min="25" max="25" width="3.85546875" style="321" hidden="1" customWidth="1"/>
    <col min="26" max="26" width="7.28515625" style="321" hidden="1" customWidth="1"/>
    <col min="27" max="27" width="3.5703125" style="321" customWidth="1"/>
    <col min="28" max="28" width="4.85546875" style="321" customWidth="1"/>
    <col min="29" max="16384" width="11.42578125" style="321"/>
  </cols>
  <sheetData>
    <row r="1" spans="1:28">
      <c r="A1" s="809"/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809"/>
      <c r="X1" s="809"/>
      <c r="Y1" s="809"/>
      <c r="Z1" s="809"/>
      <c r="AA1" s="809"/>
      <c r="AB1" s="809"/>
    </row>
    <row r="2" spans="1:28" ht="34.5" customHeight="1">
      <c r="A2" s="240"/>
      <c r="B2" s="386"/>
      <c r="C2" s="386"/>
      <c r="D2" s="240"/>
      <c r="E2" s="240"/>
      <c r="F2" s="240"/>
      <c r="G2" s="240"/>
      <c r="H2" s="386"/>
      <c r="I2" s="386"/>
      <c r="J2" s="386"/>
      <c r="K2" s="240"/>
      <c r="L2" s="386"/>
      <c r="M2" s="386"/>
      <c r="N2" s="386"/>
      <c r="O2" s="386"/>
      <c r="P2" s="386"/>
      <c r="Q2" s="376"/>
      <c r="R2" s="386"/>
      <c r="S2" s="386"/>
      <c r="T2" s="386"/>
      <c r="U2" s="386"/>
      <c r="V2" s="386"/>
      <c r="W2" s="386"/>
      <c r="X2" s="810"/>
      <c r="Y2" s="810"/>
      <c r="Z2" s="810"/>
      <c r="AA2" s="810"/>
      <c r="AB2" s="810"/>
    </row>
    <row r="3" spans="1:28" hidden="1">
      <c r="A3" s="386"/>
      <c r="B3" s="386"/>
      <c r="C3" s="386"/>
      <c r="D3" s="240"/>
      <c r="E3" s="240"/>
      <c r="F3" s="240"/>
      <c r="G3" s="240"/>
      <c r="H3" s="386"/>
      <c r="I3" s="386"/>
      <c r="J3" s="386"/>
      <c r="K3" s="240"/>
      <c r="L3" s="386"/>
      <c r="M3" s="386"/>
      <c r="N3" s="386"/>
      <c r="O3" s="386"/>
      <c r="P3" s="386"/>
      <c r="Q3" s="377"/>
      <c r="R3" s="386"/>
      <c r="S3" s="386"/>
      <c r="T3" s="386"/>
      <c r="U3" s="386"/>
      <c r="V3" s="386"/>
      <c r="W3" s="386"/>
      <c r="X3" s="386"/>
      <c r="Y3" s="386"/>
      <c r="Z3" s="386"/>
      <c r="AA3" s="240"/>
      <c r="AB3" s="386"/>
    </row>
    <row r="4" spans="1:28" ht="12.75" customHeight="1">
      <c r="A4" s="806" t="s">
        <v>243</v>
      </c>
      <c r="B4" s="806"/>
      <c r="C4" s="806"/>
      <c r="D4" s="806"/>
      <c r="E4" s="806"/>
      <c r="F4" s="806"/>
      <c r="G4" s="806"/>
      <c r="H4" s="806"/>
      <c r="I4" s="806"/>
      <c r="J4" s="806"/>
      <c r="K4" s="806"/>
      <c r="L4" s="806"/>
      <c r="M4" s="806"/>
      <c r="N4" s="806"/>
      <c r="O4" s="806"/>
      <c r="P4" s="806"/>
      <c r="Q4" s="806"/>
      <c r="R4" s="806"/>
      <c r="S4" s="806"/>
      <c r="T4" s="806"/>
      <c r="U4" s="806"/>
      <c r="V4" s="805" t="s">
        <v>192</v>
      </c>
      <c r="W4" s="805"/>
      <c r="X4" s="357">
        <f>'INFORME ASFALTO'!K9+1</f>
        <v>638</v>
      </c>
      <c r="Y4" s="357"/>
      <c r="Z4" s="357"/>
      <c r="AA4" s="385" t="s">
        <v>463</v>
      </c>
      <c r="AB4" s="358">
        <f>A32</f>
        <v>655</v>
      </c>
    </row>
    <row r="5" spans="1:28" s="241" customFormat="1" ht="15.75" customHeight="1">
      <c r="A5" s="811" t="s">
        <v>192</v>
      </c>
      <c r="B5" s="795" t="s">
        <v>244</v>
      </c>
      <c r="C5" s="795"/>
      <c r="D5" s="795" t="s">
        <v>245</v>
      </c>
      <c r="E5" s="795"/>
      <c r="F5" s="814" t="s">
        <v>246</v>
      </c>
      <c r="G5" s="815"/>
      <c r="H5" s="816"/>
      <c r="I5" s="383"/>
      <c r="J5" s="795" t="s">
        <v>247</v>
      </c>
      <c r="K5" s="795"/>
      <c r="L5" s="795"/>
      <c r="M5" s="796" t="s">
        <v>248</v>
      </c>
      <c r="N5" s="796" t="s">
        <v>249</v>
      </c>
      <c r="O5" s="795" t="s">
        <v>250</v>
      </c>
      <c r="P5" s="795"/>
      <c r="Q5" s="795"/>
      <c r="R5" s="795" t="s">
        <v>251</v>
      </c>
      <c r="S5" s="795"/>
      <c r="T5" s="795" t="s">
        <v>252</v>
      </c>
      <c r="U5" s="795"/>
      <c r="V5" s="795"/>
      <c r="W5" s="795"/>
      <c r="X5" s="795"/>
      <c r="Y5" s="383" t="s">
        <v>253</v>
      </c>
      <c r="Z5" s="796" t="s">
        <v>254</v>
      </c>
      <c r="AA5" s="796" t="s">
        <v>255</v>
      </c>
      <c r="AB5" s="796" t="s">
        <v>256</v>
      </c>
    </row>
    <row r="6" spans="1:28" ht="9" customHeight="1">
      <c r="A6" s="812"/>
      <c r="B6" s="795"/>
      <c r="C6" s="795"/>
      <c r="D6" s="795"/>
      <c r="E6" s="795"/>
      <c r="F6" s="817"/>
      <c r="G6" s="818"/>
      <c r="H6" s="819"/>
      <c r="I6" s="796" t="s">
        <v>257</v>
      </c>
      <c r="J6" s="796" t="s">
        <v>258</v>
      </c>
      <c r="K6" s="796" t="s">
        <v>259</v>
      </c>
      <c r="L6" s="796" t="s">
        <v>260</v>
      </c>
      <c r="M6" s="796"/>
      <c r="N6" s="796"/>
      <c r="O6" s="796" t="s">
        <v>261</v>
      </c>
      <c r="P6" s="796" t="s">
        <v>262</v>
      </c>
      <c r="Q6" s="820" t="s">
        <v>263</v>
      </c>
      <c r="R6" s="796" t="s">
        <v>264</v>
      </c>
      <c r="S6" s="796" t="s">
        <v>265</v>
      </c>
      <c r="T6" s="796" t="s">
        <v>266</v>
      </c>
      <c r="U6" s="796" t="s">
        <v>347</v>
      </c>
      <c r="V6" s="796" t="s">
        <v>267</v>
      </c>
      <c r="W6" s="796" t="s">
        <v>268</v>
      </c>
      <c r="X6" s="796" t="s">
        <v>269</v>
      </c>
      <c r="Y6" s="796" t="s">
        <v>270</v>
      </c>
      <c r="Z6" s="796"/>
      <c r="AA6" s="796"/>
      <c r="AB6" s="796"/>
    </row>
    <row r="7" spans="1:28" ht="42.75" customHeight="1">
      <c r="A7" s="813"/>
      <c r="B7" s="387" t="s">
        <v>271</v>
      </c>
      <c r="C7" s="387" t="s">
        <v>272</v>
      </c>
      <c r="D7" s="384" t="s">
        <v>273</v>
      </c>
      <c r="E7" s="384" t="s">
        <v>274</v>
      </c>
      <c r="F7" s="384" t="s">
        <v>275</v>
      </c>
      <c r="G7" s="384" t="s">
        <v>276</v>
      </c>
      <c r="H7" s="384" t="s">
        <v>277</v>
      </c>
      <c r="I7" s="796"/>
      <c r="J7" s="796"/>
      <c r="K7" s="796"/>
      <c r="L7" s="796"/>
      <c r="M7" s="796"/>
      <c r="N7" s="796"/>
      <c r="O7" s="796"/>
      <c r="P7" s="796"/>
      <c r="Q7" s="820"/>
      <c r="R7" s="796"/>
      <c r="S7" s="796"/>
      <c r="T7" s="796"/>
      <c r="U7" s="796"/>
      <c r="V7" s="796"/>
      <c r="W7" s="796"/>
      <c r="X7" s="796"/>
      <c r="Y7" s="796"/>
      <c r="Z7" s="796"/>
      <c r="AA7" s="796"/>
      <c r="AB7" s="796"/>
    </row>
    <row r="8" spans="1:28" ht="7.5" customHeight="1">
      <c r="A8" s="797"/>
      <c r="B8" s="798"/>
      <c r="C8" s="799"/>
      <c r="D8" s="184" t="s">
        <v>278</v>
      </c>
      <c r="E8" s="185" t="s">
        <v>136</v>
      </c>
      <c r="F8" s="185" t="s">
        <v>137</v>
      </c>
      <c r="G8" s="185" t="s">
        <v>176</v>
      </c>
      <c r="H8" s="185" t="s">
        <v>279</v>
      </c>
      <c r="I8" s="185" t="s">
        <v>280</v>
      </c>
      <c r="J8" s="185" t="s">
        <v>281</v>
      </c>
      <c r="K8" s="185" t="s">
        <v>282</v>
      </c>
      <c r="L8" s="185" t="s">
        <v>178</v>
      </c>
      <c r="M8" s="185" t="s">
        <v>283</v>
      </c>
      <c r="N8" s="185" t="s">
        <v>148</v>
      </c>
      <c r="O8" s="185" t="s">
        <v>284</v>
      </c>
      <c r="P8" s="185" t="s">
        <v>285</v>
      </c>
      <c r="Q8" s="378" t="s">
        <v>286</v>
      </c>
      <c r="R8" s="185" t="s">
        <v>287</v>
      </c>
      <c r="S8" s="185" t="s">
        <v>288</v>
      </c>
      <c r="T8" s="185" t="s">
        <v>177</v>
      </c>
      <c r="U8" s="185" t="s">
        <v>289</v>
      </c>
      <c r="V8" s="185" t="s">
        <v>290</v>
      </c>
      <c r="W8" s="185" t="s">
        <v>291</v>
      </c>
      <c r="X8" s="185" t="s">
        <v>292</v>
      </c>
      <c r="Y8" s="185" t="s">
        <v>291</v>
      </c>
      <c r="Z8" s="185" t="s">
        <v>293</v>
      </c>
      <c r="AA8" s="185"/>
      <c r="AB8" s="185" t="s">
        <v>294</v>
      </c>
    </row>
    <row r="9" spans="1:28" s="192" customFormat="1" ht="6.75" customHeight="1">
      <c r="A9" s="186"/>
      <c r="B9" s="187"/>
      <c r="C9" s="188"/>
      <c r="D9" s="189"/>
      <c r="E9" s="190"/>
      <c r="F9" s="190"/>
      <c r="G9" s="191"/>
      <c r="H9" s="191"/>
      <c r="I9" s="190" t="s">
        <v>295</v>
      </c>
      <c r="J9" s="190" t="s">
        <v>296</v>
      </c>
      <c r="K9" s="190" t="s">
        <v>297</v>
      </c>
      <c r="L9" s="190" t="s">
        <v>298</v>
      </c>
      <c r="M9" s="190" t="s">
        <v>299</v>
      </c>
      <c r="N9" s="190" t="s">
        <v>300</v>
      </c>
      <c r="O9" s="190" t="s">
        <v>301</v>
      </c>
      <c r="P9" s="190" t="s">
        <v>302</v>
      </c>
      <c r="Q9" s="191" t="s">
        <v>303</v>
      </c>
      <c r="R9" s="190" t="s">
        <v>304</v>
      </c>
      <c r="S9" s="190" t="s">
        <v>305</v>
      </c>
      <c r="T9" s="190"/>
      <c r="U9" s="190"/>
      <c r="V9" s="190" t="s">
        <v>306</v>
      </c>
      <c r="W9" s="190"/>
      <c r="X9" s="190" t="s">
        <v>307</v>
      </c>
      <c r="Y9" s="190"/>
      <c r="Z9" s="190"/>
      <c r="AA9" s="190"/>
      <c r="AB9" s="190"/>
    </row>
    <row r="10" spans="1:28" ht="11.25" customHeight="1">
      <c r="A10" s="193">
        <f>X4</f>
        <v>638</v>
      </c>
      <c r="B10" s="193">
        <v>1</v>
      </c>
      <c r="C10" s="370">
        <v>3.3</v>
      </c>
      <c r="D10" s="370">
        <v>3.3</v>
      </c>
      <c r="E10" s="194">
        <f>D10/(100+D10)*100</f>
        <v>3.1945788964181996</v>
      </c>
      <c r="F10" s="369">
        <v>1192.5</v>
      </c>
      <c r="G10" s="370">
        <v>1189.0999999999999</v>
      </c>
      <c r="H10" s="370">
        <v>672.3</v>
      </c>
      <c r="I10" s="194">
        <f>F10-G10</f>
        <v>3.4000000000000909</v>
      </c>
      <c r="J10" s="196">
        <f>F10-H10</f>
        <v>520.20000000000005</v>
      </c>
      <c r="K10" s="194">
        <f>I10/1.095</f>
        <v>3.1050228310503116</v>
      </c>
      <c r="L10" s="195">
        <f>J10-K10</f>
        <v>517.09497716894975</v>
      </c>
      <c r="M10" s="196">
        <f>G10/L10*1000</f>
        <v>2299.5775486163479</v>
      </c>
      <c r="N10" s="193">
        <f>(100/((C10/Q34)+(P10/Q35)))*1000</f>
        <v>2839.5585312790786</v>
      </c>
      <c r="O10" s="194">
        <f>E10*M10/Q34/1000</f>
        <v>7.1322154441620205</v>
      </c>
      <c r="P10" s="194">
        <f>(((100-E10)*M10)/2.637)/1000</f>
        <v>84.418495621595738</v>
      </c>
      <c r="Q10" s="379">
        <f>100-O10-P10</f>
        <v>8.4492889342422473</v>
      </c>
      <c r="R10" s="194">
        <f>100-P10</f>
        <v>15.581504378404262</v>
      </c>
      <c r="S10" s="194">
        <f>(O10/R10)*100</f>
        <v>45.77359971767018</v>
      </c>
      <c r="T10" s="371">
        <v>340</v>
      </c>
      <c r="U10" s="374">
        <v>6.69</v>
      </c>
      <c r="V10" s="196">
        <f>T10*F34</f>
        <v>1292</v>
      </c>
      <c r="W10" s="375">
        <v>1</v>
      </c>
      <c r="X10" s="196">
        <f>V10*W10</f>
        <v>1292</v>
      </c>
      <c r="Y10" s="195"/>
      <c r="Z10" s="193"/>
      <c r="AA10" s="371">
        <v>90</v>
      </c>
      <c r="AB10" s="195">
        <f>(AA10*E36)/100</f>
        <v>2.286</v>
      </c>
    </row>
    <row r="11" spans="1:28" ht="11.25" customHeight="1">
      <c r="A11" s="193">
        <f>A10+1</f>
        <v>639</v>
      </c>
      <c r="B11" s="193">
        <v>2</v>
      </c>
      <c r="C11" s="195">
        <f>C10</f>
        <v>3.3</v>
      </c>
      <c r="D11" s="195">
        <f>D10</f>
        <v>3.3</v>
      </c>
      <c r="E11" s="194">
        <f>D11/(100+D11)*100</f>
        <v>3.1945788964181996</v>
      </c>
      <c r="F11" s="369">
        <v>1194</v>
      </c>
      <c r="G11" s="370">
        <v>1190.5</v>
      </c>
      <c r="H11" s="370">
        <v>675.9</v>
      </c>
      <c r="I11" s="194">
        <f>F11-G11</f>
        <v>3.5</v>
      </c>
      <c r="J11" s="196">
        <f>F11-H11</f>
        <v>518.1</v>
      </c>
      <c r="K11" s="194">
        <f t="shared" ref="K11:K32" si="0">I11/1.095</f>
        <v>3.1963470319634704</v>
      </c>
      <c r="L11" s="195">
        <f t="shared" ref="L11:L32" si="1">J11-K11</f>
        <v>514.90365296803657</v>
      </c>
      <c r="M11" s="196">
        <f>G11/L11*1000</f>
        <v>2312.083033665916</v>
      </c>
      <c r="N11" s="193">
        <f>(100/((C10/Q34)+(P11/Q35)))*1000</f>
        <v>2825.5904429154739</v>
      </c>
      <c r="O11" s="194">
        <f>E11*M11/Q34/1000</f>
        <v>7.1710016175880629</v>
      </c>
      <c r="P11" s="194">
        <f t="shared" ref="P11:P32" si="2">(((100-E11)*M11)/2.637)/1000</f>
        <v>84.877577436661312</v>
      </c>
      <c r="Q11" s="379">
        <f>100-O11-P11</f>
        <v>7.9514209457506269</v>
      </c>
      <c r="R11" s="194">
        <f>100-P11</f>
        <v>15.122422563338688</v>
      </c>
      <c r="S11" s="194">
        <f>(O11/R11)*100</f>
        <v>47.419661681539921</v>
      </c>
      <c r="T11" s="371">
        <v>355</v>
      </c>
      <c r="U11" s="374">
        <v>6.8</v>
      </c>
      <c r="V11" s="196">
        <f>T11*F34</f>
        <v>1349</v>
      </c>
      <c r="W11" s="375">
        <v>1</v>
      </c>
      <c r="X11" s="196">
        <f>V11*W11</f>
        <v>1349</v>
      </c>
      <c r="Y11" s="195">
        <v>3.7</v>
      </c>
      <c r="Z11" s="193"/>
      <c r="AA11" s="371">
        <v>105</v>
      </c>
      <c r="AB11" s="195">
        <f>(AA11*E36)/100</f>
        <v>2.6669999999999998</v>
      </c>
    </row>
    <row r="12" spans="1:28" ht="11.25" customHeight="1">
      <c r="A12" s="193">
        <f>A11+1</f>
        <v>640</v>
      </c>
      <c r="B12" s="193">
        <v>3</v>
      </c>
      <c r="C12" s="195">
        <f>C11</f>
        <v>3.3</v>
      </c>
      <c r="D12" s="195">
        <f>D11</f>
        <v>3.3</v>
      </c>
      <c r="E12" s="194">
        <f>D12/(100+D12)*100</f>
        <v>3.1945788964181996</v>
      </c>
      <c r="F12" s="369">
        <v>1194</v>
      </c>
      <c r="G12" s="370">
        <v>1190.5</v>
      </c>
      <c r="H12" s="370">
        <v>670.2</v>
      </c>
      <c r="I12" s="194">
        <f>F12-G12</f>
        <v>3.5</v>
      </c>
      <c r="J12" s="196">
        <f>F12-H12</f>
        <v>523.79999999999995</v>
      </c>
      <c r="K12" s="194">
        <f t="shared" si="0"/>
        <v>3.1963470319634704</v>
      </c>
      <c r="L12" s="195">
        <f t="shared" si="1"/>
        <v>520.6036529680365</v>
      </c>
      <c r="M12" s="196">
        <f>G12/L12*1000</f>
        <v>2286.7684335536023</v>
      </c>
      <c r="N12" s="193">
        <f>(100/((C10/Q34)+(P12/Q35)))*1000</f>
        <v>2854.0096605222166</v>
      </c>
      <c r="O12" s="194">
        <f>E12*M12/Q34/1000</f>
        <v>7.0924875522579054</v>
      </c>
      <c r="P12" s="194">
        <f t="shared" si="2"/>
        <v>83.948267416205766</v>
      </c>
      <c r="Q12" s="379">
        <f>100-O12-P12</f>
        <v>8.9592450315363266</v>
      </c>
      <c r="R12" s="194">
        <f>100-P12</f>
        <v>16.051732583794234</v>
      </c>
      <c r="S12" s="194">
        <f>(O12/R12)*100</f>
        <v>44.185183843758111</v>
      </c>
      <c r="T12" s="371">
        <v>355</v>
      </c>
      <c r="U12" s="374">
        <v>6.82</v>
      </c>
      <c r="V12" s="196">
        <f>T12*F34</f>
        <v>1349</v>
      </c>
      <c r="W12" s="375">
        <v>1</v>
      </c>
      <c r="X12" s="196">
        <f>V12*W12</f>
        <v>1349</v>
      </c>
      <c r="Y12" s="195">
        <v>3.7</v>
      </c>
      <c r="Z12" s="193"/>
      <c r="AA12" s="371">
        <v>90</v>
      </c>
      <c r="AB12" s="195">
        <f>(AA12*E36)/100</f>
        <v>2.286</v>
      </c>
    </row>
    <row r="13" spans="1:28" ht="11.25" customHeight="1">
      <c r="A13" s="193"/>
      <c r="B13" s="193"/>
      <c r="C13" s="195"/>
      <c r="D13" s="195"/>
      <c r="E13" s="194"/>
      <c r="F13" s="369"/>
      <c r="G13" s="371"/>
      <c r="H13" s="371"/>
      <c r="I13" s="194"/>
      <c r="J13" s="196"/>
      <c r="K13" s="194"/>
      <c r="L13" s="195"/>
      <c r="M13" s="196">
        <f>AVERAGE(M10,M11,M12)</f>
        <v>2299.4763386119553</v>
      </c>
      <c r="N13" s="193"/>
      <c r="O13" s="194"/>
      <c r="P13" s="194">
        <f t="shared" si="2"/>
        <v>87.200467903373351</v>
      </c>
      <c r="Q13" s="379">
        <f>AVERAGE(Q10,Q11,Q12)</f>
        <v>8.4533183038430675</v>
      </c>
      <c r="R13" s="194">
        <f>AVERAGE(R10,R11,R12)</f>
        <v>15.585219841845728</v>
      </c>
      <c r="S13" s="194">
        <f>AVERAGE(S10:S12)</f>
        <v>45.792815080989406</v>
      </c>
      <c r="T13" s="371"/>
      <c r="U13" s="374"/>
      <c r="V13" s="196"/>
      <c r="W13" s="375"/>
      <c r="X13" s="196">
        <f>AVERAGE(X10,X11,X12)</f>
        <v>1330</v>
      </c>
      <c r="Y13" s="242"/>
      <c r="Z13" s="193"/>
      <c r="AA13" s="371"/>
      <c r="AB13" s="195">
        <f>AVERAGE(AB10:AB12)</f>
        <v>2.4129999999999998</v>
      </c>
    </row>
    <row r="14" spans="1:28" ht="11.25" customHeight="1">
      <c r="A14" s="193">
        <f>A12+1</f>
        <v>641</v>
      </c>
      <c r="B14" s="193">
        <v>1</v>
      </c>
      <c r="C14" s="195">
        <f>C11+0.5</f>
        <v>3.8</v>
      </c>
      <c r="D14" s="195">
        <f>C14</f>
        <v>3.8</v>
      </c>
      <c r="E14" s="194">
        <f>D14/(100+D14)*100</f>
        <v>3.6608863198458574</v>
      </c>
      <c r="F14" s="369">
        <v>1192.5</v>
      </c>
      <c r="G14" s="370">
        <v>1189.0999999999999</v>
      </c>
      <c r="H14" s="370">
        <v>679.9</v>
      </c>
      <c r="I14" s="194">
        <f>F14-G14</f>
        <v>3.4000000000000909</v>
      </c>
      <c r="J14" s="196">
        <f>F14-H14</f>
        <v>512.6</v>
      </c>
      <c r="K14" s="194">
        <f t="shared" si="0"/>
        <v>3.1050228310503116</v>
      </c>
      <c r="L14" s="195">
        <f t="shared" si="1"/>
        <v>509.49497716894973</v>
      </c>
      <c r="M14" s="196">
        <f>G14/L14*1000</f>
        <v>2333.8797304878858</v>
      </c>
      <c r="N14" s="193">
        <f>(100/((C14/Q34)+(P14/Q35)))*1000</f>
        <v>2775.9887065403818</v>
      </c>
      <c r="O14" s="194">
        <f>E14*M14/Q34/1000</f>
        <v>8.2952120169986774</v>
      </c>
      <c r="P14" s="194">
        <f t="shared" si="2"/>
        <v>85.265037797224096</v>
      </c>
      <c r="Q14" s="379">
        <f>100-O14-P14</f>
        <v>6.4397501857772284</v>
      </c>
      <c r="R14" s="194">
        <f>100-P14</f>
        <v>14.734962202775904</v>
      </c>
      <c r="S14" s="194">
        <f>(O14/R14)*100</f>
        <v>56.296120090731904</v>
      </c>
      <c r="T14" s="371">
        <v>380</v>
      </c>
      <c r="U14" s="374">
        <v>6.45</v>
      </c>
      <c r="V14" s="196">
        <f>T14*F34</f>
        <v>1444</v>
      </c>
      <c r="W14" s="375">
        <v>0.97499999999999998</v>
      </c>
      <c r="X14" s="196">
        <f>V14*W14</f>
        <v>1407.8999999999999</v>
      </c>
      <c r="Y14" s="195"/>
      <c r="Z14" s="193"/>
      <c r="AA14" s="371">
        <v>90</v>
      </c>
      <c r="AB14" s="195">
        <f>(AA14*E36)/100</f>
        <v>2.286</v>
      </c>
    </row>
    <row r="15" spans="1:28" ht="11.25" customHeight="1">
      <c r="A15" s="193">
        <f>A14+1</f>
        <v>642</v>
      </c>
      <c r="B15" s="193">
        <v>2</v>
      </c>
      <c r="C15" s="195">
        <f>C14</f>
        <v>3.8</v>
      </c>
      <c r="D15" s="195">
        <f t="shared" ref="D15:D32" si="3">C15</f>
        <v>3.8</v>
      </c>
      <c r="E15" s="194">
        <f>D15/(100+D15)*100</f>
        <v>3.6608863198458574</v>
      </c>
      <c r="F15" s="369">
        <v>1194</v>
      </c>
      <c r="G15" s="370">
        <v>1190.5</v>
      </c>
      <c r="H15" s="370">
        <v>674.5</v>
      </c>
      <c r="I15" s="194">
        <f>F15-G15</f>
        <v>3.5</v>
      </c>
      <c r="J15" s="196">
        <f>F15-H15</f>
        <v>519.5</v>
      </c>
      <c r="K15" s="194">
        <f t="shared" si="0"/>
        <v>3.1963470319634704</v>
      </c>
      <c r="L15" s="195">
        <f t="shared" si="1"/>
        <v>516.30365296803654</v>
      </c>
      <c r="M15" s="196">
        <f>G15/L15*1000</f>
        <v>2305.8136295497056</v>
      </c>
      <c r="N15" s="193">
        <f>(100/((C14/Q34)+(P15/Q35)))*1000</f>
        <v>2806.2794586879904</v>
      </c>
      <c r="O15" s="194">
        <f>E15*M15/Q34/1000</f>
        <v>8.1954578374103306</v>
      </c>
      <c r="P15" s="194">
        <f t="shared" si="2"/>
        <v>84.23968198044669</v>
      </c>
      <c r="Q15" s="379">
        <f>100-O15-P15</f>
        <v>7.5648601821429793</v>
      </c>
      <c r="R15" s="194">
        <f>100-P15</f>
        <v>15.76031801955331</v>
      </c>
      <c r="S15" s="194">
        <f>(O15/R15)*100</f>
        <v>52.0005867092434</v>
      </c>
      <c r="T15" s="371">
        <v>390</v>
      </c>
      <c r="U15" s="374">
        <v>6.45</v>
      </c>
      <c r="V15" s="196">
        <f>T15*F34</f>
        <v>1482</v>
      </c>
      <c r="W15" s="375">
        <v>0.97499999999999998</v>
      </c>
      <c r="X15" s="196">
        <f>V15*W15</f>
        <v>1444.95</v>
      </c>
      <c r="Y15" s="195">
        <v>3.7</v>
      </c>
      <c r="Z15" s="193"/>
      <c r="AA15" s="371">
        <v>125</v>
      </c>
      <c r="AB15" s="195">
        <f>(AA15*E36)/100</f>
        <v>3.1749999999999998</v>
      </c>
    </row>
    <row r="16" spans="1:28" ht="11.25" customHeight="1">
      <c r="A16" s="193">
        <f>A15+1</f>
        <v>643</v>
      </c>
      <c r="B16" s="193">
        <v>3</v>
      </c>
      <c r="C16" s="195">
        <f>C14</f>
        <v>3.8</v>
      </c>
      <c r="D16" s="195">
        <f t="shared" si="3"/>
        <v>3.8</v>
      </c>
      <c r="E16" s="194">
        <f>D16/(100+D16)*100</f>
        <v>3.6608863198458574</v>
      </c>
      <c r="F16" s="369">
        <v>1194</v>
      </c>
      <c r="G16" s="370">
        <v>1190.5</v>
      </c>
      <c r="H16" s="370">
        <v>676.1</v>
      </c>
      <c r="I16" s="194">
        <f>F16-G16</f>
        <v>3.5</v>
      </c>
      <c r="J16" s="196">
        <f>F16-H16</f>
        <v>517.9</v>
      </c>
      <c r="K16" s="194">
        <f t="shared" si="0"/>
        <v>3.1963470319634704</v>
      </c>
      <c r="L16" s="195">
        <f t="shared" si="1"/>
        <v>514.70365296803652</v>
      </c>
      <c r="M16" s="196">
        <f>G16/L16*1000</f>
        <v>2312.9814469646494</v>
      </c>
      <c r="N16" s="193">
        <f>(100/((C14/Q34)+(P16/Q35)))*1000</f>
        <v>2798.4808065957191</v>
      </c>
      <c r="O16" s="194">
        <f>E16*M16/Q34/1000</f>
        <v>8.2209341138351082</v>
      </c>
      <c r="P16" s="194">
        <f t="shared" si="2"/>
        <v>84.501548183244125</v>
      </c>
      <c r="Q16" s="379">
        <f>100-O16-P16</f>
        <v>7.2775177029207612</v>
      </c>
      <c r="R16" s="194">
        <f>100-P16</f>
        <v>15.498451816755875</v>
      </c>
      <c r="S16" s="194">
        <f>(O16/R16)*100</f>
        <v>53.043582746421116</v>
      </c>
      <c r="T16" s="371">
        <v>390</v>
      </c>
      <c r="U16" s="374">
        <v>6.53</v>
      </c>
      <c r="V16" s="196">
        <f>T16*F34</f>
        <v>1482</v>
      </c>
      <c r="W16" s="375">
        <v>0.95499999999999996</v>
      </c>
      <c r="X16" s="196">
        <f>V16*W16</f>
        <v>1415.31</v>
      </c>
      <c r="Y16" s="195">
        <v>3.7</v>
      </c>
      <c r="Z16" s="193"/>
      <c r="AA16" s="371">
        <v>110</v>
      </c>
      <c r="AB16" s="195">
        <f>(AA16*E36)/100</f>
        <v>2.7939999999999996</v>
      </c>
    </row>
    <row r="17" spans="1:28" ht="11.25" customHeight="1">
      <c r="A17" s="193"/>
      <c r="B17" s="193"/>
      <c r="C17" s="195"/>
      <c r="D17" s="195"/>
      <c r="E17" s="194"/>
      <c r="F17" s="369"/>
      <c r="G17" s="371"/>
      <c r="H17" s="371"/>
      <c r="I17" s="194"/>
      <c r="J17" s="196"/>
      <c r="K17" s="194"/>
      <c r="L17" s="195"/>
      <c r="M17" s="196">
        <f>AVERAGE(M14,M15,M16)</f>
        <v>2317.5582690007468</v>
      </c>
      <c r="N17" s="193"/>
      <c r="O17" s="194"/>
      <c r="P17" s="194">
        <f t="shared" si="2"/>
        <v>87.88616871447654</v>
      </c>
      <c r="Q17" s="379">
        <f>AVERAGE(Q14,Q15,Q16)</f>
        <v>7.0940426902803226</v>
      </c>
      <c r="R17" s="194">
        <f>AVERAGE(R14,R15,R16)</f>
        <v>15.331244013028362</v>
      </c>
      <c r="S17" s="194">
        <f>AVERAGE(S14:S16)</f>
        <v>53.78009651546548</v>
      </c>
      <c r="T17" s="371"/>
      <c r="U17" s="374"/>
      <c r="V17" s="196"/>
      <c r="W17" s="375"/>
      <c r="X17" s="196">
        <f>AVERAGE(X14,X15,X16)</f>
        <v>1422.72</v>
      </c>
      <c r="Y17" s="242"/>
      <c r="Z17" s="193"/>
      <c r="AA17" s="371"/>
      <c r="AB17" s="195">
        <f>AVERAGE(AB14:AB16)</f>
        <v>2.7516666666666665</v>
      </c>
    </row>
    <row r="18" spans="1:28" ht="11.25" customHeight="1">
      <c r="A18" s="193">
        <f>A16+1</f>
        <v>644</v>
      </c>
      <c r="B18" s="193">
        <v>1</v>
      </c>
      <c r="C18" s="195">
        <f>C10+1</f>
        <v>4.3</v>
      </c>
      <c r="D18" s="195">
        <f t="shared" si="3"/>
        <v>4.3</v>
      </c>
      <c r="E18" s="194">
        <f>D18/(100+D18)*100</f>
        <v>4.1227229146692235</v>
      </c>
      <c r="F18" s="369">
        <v>1191.7</v>
      </c>
      <c r="G18" s="370">
        <v>1188.2</v>
      </c>
      <c r="H18" s="370">
        <v>682.1</v>
      </c>
      <c r="I18" s="194">
        <f>F18-G18</f>
        <v>3.5</v>
      </c>
      <c r="J18" s="196">
        <f>F18-H18</f>
        <v>509.6</v>
      </c>
      <c r="K18" s="194">
        <f t="shared" si="0"/>
        <v>3.1963470319634704</v>
      </c>
      <c r="L18" s="195">
        <f t="shared" si="1"/>
        <v>506.40365296803657</v>
      </c>
      <c r="M18" s="196">
        <f>G18/L18*1000</f>
        <v>2346.349583056814</v>
      </c>
      <c r="N18" s="193">
        <f>(100/((C18/Q34)+(P18/Q35)))*1000</f>
        <v>2737.8084518556416</v>
      </c>
      <c r="O18" s="194">
        <f>E18*M18/Q34/1000</f>
        <v>9.3916011571775773</v>
      </c>
      <c r="P18" s="194">
        <f t="shared" si="2"/>
        <v>85.309673535755962</v>
      </c>
      <c r="Q18" s="379">
        <f>100-O18-P18</f>
        <v>5.2987253070664622</v>
      </c>
      <c r="R18" s="194">
        <f>100-P18</f>
        <v>14.690326464244038</v>
      </c>
      <c r="S18" s="194">
        <f>(O18/R18)*100</f>
        <v>63.93051359366688</v>
      </c>
      <c r="T18" s="371">
        <v>405</v>
      </c>
      <c r="U18" s="374">
        <v>6.31</v>
      </c>
      <c r="V18" s="196">
        <f>T18*F34</f>
        <v>1539</v>
      </c>
      <c r="W18" s="375">
        <v>1.012</v>
      </c>
      <c r="X18" s="196">
        <f>V18*W18</f>
        <v>1557.4680000000001</v>
      </c>
      <c r="Y18" s="195"/>
      <c r="Z18" s="193"/>
      <c r="AA18" s="371">
        <v>145</v>
      </c>
      <c r="AB18" s="195">
        <f>(AA18*E36)/100</f>
        <v>3.6830000000000003</v>
      </c>
    </row>
    <row r="19" spans="1:28" ht="11.25" customHeight="1">
      <c r="A19" s="193">
        <f>A18+1</f>
        <v>645</v>
      </c>
      <c r="B19" s="193">
        <v>2</v>
      </c>
      <c r="C19" s="195">
        <f>C18</f>
        <v>4.3</v>
      </c>
      <c r="D19" s="195">
        <f t="shared" si="3"/>
        <v>4.3</v>
      </c>
      <c r="E19" s="194">
        <f>D19/(100+D19)*100</f>
        <v>4.1227229146692235</v>
      </c>
      <c r="F19" s="369">
        <v>1193.4000000000001</v>
      </c>
      <c r="G19" s="370">
        <v>1190.3</v>
      </c>
      <c r="H19" s="370">
        <v>680</v>
      </c>
      <c r="I19" s="194">
        <f>F19-G19</f>
        <v>3.1000000000001364</v>
      </c>
      <c r="J19" s="196">
        <f>F19-H19</f>
        <v>513.40000000000009</v>
      </c>
      <c r="K19" s="194">
        <f t="shared" si="0"/>
        <v>2.8310502283106271</v>
      </c>
      <c r="L19" s="195">
        <f t="shared" si="1"/>
        <v>510.56894977168946</v>
      </c>
      <c r="M19" s="196">
        <f>G19/L19*1000</f>
        <v>2331.3207756411057</v>
      </c>
      <c r="N19" s="193">
        <f>(100/((C18/Q34)+(P19/Q35)))*1000</f>
        <v>2753.4289131505616</v>
      </c>
      <c r="O19" s="194">
        <f>E19*M19/Q34/1000</f>
        <v>9.3314461972621494</v>
      </c>
      <c r="P19" s="194">
        <f t="shared" si="2"/>
        <v>84.763249139526195</v>
      </c>
      <c r="Q19" s="379">
        <f>100-O19-P19</f>
        <v>5.9053046632116519</v>
      </c>
      <c r="R19" s="194">
        <f>100-P19</f>
        <v>15.236750860473805</v>
      </c>
      <c r="S19" s="194">
        <f>(O19/R19)*100</f>
        <v>61.243018821481051</v>
      </c>
      <c r="T19" s="371">
        <v>410</v>
      </c>
      <c r="U19" s="374">
        <v>6.31</v>
      </c>
      <c r="V19" s="196">
        <f>T19*F34</f>
        <v>1558</v>
      </c>
      <c r="W19" s="375">
        <v>1.012</v>
      </c>
      <c r="X19" s="196">
        <f>V19*W19</f>
        <v>1576.6959999999999</v>
      </c>
      <c r="Y19" s="195">
        <v>3.7</v>
      </c>
      <c r="Z19" s="193"/>
      <c r="AA19" s="371">
        <v>130</v>
      </c>
      <c r="AB19" s="195">
        <f>(AA19*E36)/100</f>
        <v>3.302</v>
      </c>
    </row>
    <row r="20" spans="1:28" ht="11.25" customHeight="1">
      <c r="A20" s="193">
        <f>A19+1</f>
        <v>646</v>
      </c>
      <c r="B20" s="193">
        <v>3</v>
      </c>
      <c r="C20" s="195">
        <f>C19</f>
        <v>4.3</v>
      </c>
      <c r="D20" s="195">
        <f t="shared" si="3"/>
        <v>4.3</v>
      </c>
      <c r="E20" s="194">
        <f>D20/(100+D20)*100</f>
        <v>4.1227229146692235</v>
      </c>
      <c r="F20" s="369">
        <v>1193.5</v>
      </c>
      <c r="G20" s="370">
        <v>1190.0999999999999</v>
      </c>
      <c r="H20" s="370">
        <v>686.2</v>
      </c>
      <c r="I20" s="194">
        <f>F20-G20</f>
        <v>3.4000000000000909</v>
      </c>
      <c r="J20" s="196">
        <f>F20-H20</f>
        <v>507.29999999999995</v>
      </c>
      <c r="K20" s="194">
        <f t="shared" si="0"/>
        <v>3.1050228310503116</v>
      </c>
      <c r="L20" s="195">
        <f t="shared" si="1"/>
        <v>504.19497716894966</v>
      </c>
      <c r="M20" s="196">
        <f>G20/L20*1000</f>
        <v>2360.3963821345483</v>
      </c>
      <c r="N20" s="193">
        <f>(100/((C18/Q34)+(P20/Q35)))*1000</f>
        <v>2723.3680534205805</v>
      </c>
      <c r="O20" s="194">
        <f>E20*M20/Q34/1000</f>
        <v>9.447825487697509</v>
      </c>
      <c r="P20" s="194">
        <f t="shared" si="2"/>
        <v>85.820393614382397</v>
      </c>
      <c r="Q20" s="379">
        <f>100-O20-P20</f>
        <v>4.731780897920089</v>
      </c>
      <c r="R20" s="194">
        <f>100-P20</f>
        <v>14.179606385617603</v>
      </c>
      <c r="S20" s="194">
        <f>(O20/R20)*100</f>
        <v>66.629673848213827</v>
      </c>
      <c r="T20" s="371">
        <v>410</v>
      </c>
      <c r="U20" s="374">
        <v>6.32</v>
      </c>
      <c r="V20" s="196">
        <f>T20*F34</f>
        <v>1558</v>
      </c>
      <c r="W20" s="375">
        <v>1.01</v>
      </c>
      <c r="X20" s="196">
        <f>V20*W20</f>
        <v>1573.58</v>
      </c>
      <c r="Y20" s="195">
        <v>3.7</v>
      </c>
      <c r="Z20" s="193"/>
      <c r="AA20" s="371">
        <v>140</v>
      </c>
      <c r="AB20" s="195">
        <f>(AA20*E36)/100</f>
        <v>3.556</v>
      </c>
    </row>
    <row r="21" spans="1:28" ht="11.25" customHeight="1">
      <c r="A21" s="193"/>
      <c r="B21" s="193"/>
      <c r="C21" s="195"/>
      <c r="D21" s="195"/>
      <c r="E21" s="194"/>
      <c r="F21" s="369"/>
      <c r="G21" s="371"/>
      <c r="H21" s="371"/>
      <c r="I21" s="194"/>
      <c r="J21" s="196"/>
      <c r="K21" s="194"/>
      <c r="L21" s="195"/>
      <c r="M21" s="196">
        <f>AVERAGE(M18,M19,M20)</f>
        <v>2346.022246944156</v>
      </c>
      <c r="N21" s="193"/>
      <c r="O21" s="194"/>
      <c r="P21" s="194">
        <f t="shared" si="2"/>
        <v>88.965576296706715</v>
      </c>
      <c r="Q21" s="379">
        <f>AVERAGE(Q18,Q19,Q20)</f>
        <v>5.3119369560660674</v>
      </c>
      <c r="R21" s="194">
        <f>AVERAGE(R18,R19,R20)</f>
        <v>14.702227903445149</v>
      </c>
      <c r="S21" s="194">
        <f>AVERAGE(S18:S20)</f>
        <v>63.934402087787248</v>
      </c>
      <c r="T21" s="371"/>
      <c r="U21" s="374"/>
      <c r="V21" s="196"/>
      <c r="W21" s="375"/>
      <c r="X21" s="196">
        <f>AVERAGE(X18,X19,X20)</f>
        <v>1569.2479999999998</v>
      </c>
      <c r="Y21" s="242"/>
      <c r="Z21" s="193"/>
      <c r="AA21" s="371"/>
      <c r="AB21" s="195">
        <f>AVERAGE(AB18:AB20)</f>
        <v>3.5136666666666669</v>
      </c>
    </row>
    <row r="22" spans="1:28" ht="11.25" customHeight="1">
      <c r="A22" s="193">
        <f>A20+1</f>
        <v>647</v>
      </c>
      <c r="B22" s="193">
        <v>1</v>
      </c>
      <c r="C22" s="195">
        <f>C10+1.5</f>
        <v>4.8</v>
      </c>
      <c r="D22" s="195">
        <f t="shared" si="3"/>
        <v>4.8</v>
      </c>
      <c r="E22" s="194">
        <f>D22/(100+D22)*100</f>
        <v>4.5801526717557248</v>
      </c>
      <c r="F22" s="369">
        <v>1184.9000000000001</v>
      </c>
      <c r="G22" s="370">
        <v>1181.4000000000001</v>
      </c>
      <c r="H22" s="370">
        <v>683.5</v>
      </c>
      <c r="I22" s="194">
        <f>F22-G22</f>
        <v>3.5</v>
      </c>
      <c r="J22" s="196">
        <f>F22-H22</f>
        <v>501.40000000000009</v>
      </c>
      <c r="K22" s="194">
        <f t="shared" si="0"/>
        <v>3.1963470319634704</v>
      </c>
      <c r="L22" s="195">
        <f t="shared" si="1"/>
        <v>498.20365296803664</v>
      </c>
      <c r="M22" s="196">
        <f>G22/L22*1000</f>
        <v>2371.3194252226717</v>
      </c>
      <c r="N22" s="193">
        <f>(100/((C22/Q34)+(P22/Q35)))*1000</f>
        <v>2688.2232896876658</v>
      </c>
      <c r="O22" s="194">
        <f>E22*M22/Q34/1000</f>
        <v>10.544665049533855</v>
      </c>
      <c r="P22" s="194">
        <f t="shared" si="2"/>
        <v>85.806195495353549</v>
      </c>
      <c r="Q22" s="379">
        <f>100-O22-P22</f>
        <v>3.6491394551126035</v>
      </c>
      <c r="R22" s="194">
        <f>100-P22</f>
        <v>14.193804504646451</v>
      </c>
      <c r="S22" s="194">
        <f>(O22/R22)*100</f>
        <v>74.290617755669217</v>
      </c>
      <c r="T22" s="371">
        <v>436</v>
      </c>
      <c r="U22" s="374">
        <v>6.24</v>
      </c>
      <c r="V22" s="196">
        <f>T22*F34</f>
        <v>1656.8</v>
      </c>
      <c r="W22" s="375">
        <v>1.032</v>
      </c>
      <c r="X22" s="196">
        <f>V22*W22</f>
        <v>1709.8176000000001</v>
      </c>
      <c r="Y22" s="195"/>
      <c r="Z22" s="193"/>
      <c r="AA22" s="371">
        <v>130</v>
      </c>
      <c r="AB22" s="195">
        <f>(AA22*E36)/100</f>
        <v>3.302</v>
      </c>
    </row>
    <row r="23" spans="1:28" ht="11.25" customHeight="1">
      <c r="A23" s="193">
        <f>A22+1</f>
        <v>648</v>
      </c>
      <c r="B23" s="193">
        <v>2</v>
      </c>
      <c r="C23" s="195">
        <f>C11+1.5</f>
        <v>4.8</v>
      </c>
      <c r="D23" s="195">
        <f t="shared" si="3"/>
        <v>4.8</v>
      </c>
      <c r="E23" s="194">
        <f>D23/(100+D23)*100</f>
        <v>4.5801526717557248</v>
      </c>
      <c r="F23" s="369">
        <v>1184.9000000000001</v>
      </c>
      <c r="G23" s="370">
        <v>1181.4000000000001</v>
      </c>
      <c r="H23" s="370">
        <v>685.7</v>
      </c>
      <c r="I23" s="194">
        <f>F23-G23</f>
        <v>3.5</v>
      </c>
      <c r="J23" s="196">
        <f>F23-H23</f>
        <v>499.20000000000005</v>
      </c>
      <c r="K23" s="194">
        <f t="shared" si="0"/>
        <v>3.1963470319634704</v>
      </c>
      <c r="L23" s="195">
        <f t="shared" si="1"/>
        <v>496.00365296803659</v>
      </c>
      <c r="M23" s="196">
        <f>G23/L23*1000</f>
        <v>2381.8372968235612</v>
      </c>
      <c r="N23" s="193">
        <f>(100/((C22/Q34)+(P23/Q35)))*1000</f>
        <v>2677.8338467093604</v>
      </c>
      <c r="O23" s="194">
        <f>E23*M23/Q34/1000</f>
        <v>10.591435396828999</v>
      </c>
      <c r="P23" s="194">
        <f t="shared" si="2"/>
        <v>86.186784688518102</v>
      </c>
      <c r="Q23" s="379">
        <f>100-O23-P23</f>
        <v>3.2217799146528989</v>
      </c>
      <c r="R23" s="194">
        <f>100-P23</f>
        <v>13.813215311481898</v>
      </c>
      <c r="S23" s="194">
        <f>(O23/R23)*100</f>
        <v>76.676104426064569</v>
      </c>
      <c r="T23" s="371">
        <v>439</v>
      </c>
      <c r="U23" s="374">
        <v>6.32</v>
      </c>
      <c r="V23" s="196">
        <f>T23*F34</f>
        <v>1668.1999999999998</v>
      </c>
      <c r="W23" s="375">
        <v>1.01</v>
      </c>
      <c r="X23" s="196">
        <f>V23*W23</f>
        <v>1684.8819999999998</v>
      </c>
      <c r="Y23" s="195">
        <v>3.7</v>
      </c>
      <c r="Z23" s="193"/>
      <c r="AA23" s="371">
        <v>150</v>
      </c>
      <c r="AB23" s="195">
        <f>(AA23*E36)/100</f>
        <v>3.81</v>
      </c>
    </row>
    <row r="24" spans="1:28" ht="11.25" customHeight="1">
      <c r="A24" s="193">
        <f>A23+1</f>
        <v>649</v>
      </c>
      <c r="B24" s="193">
        <v>3</v>
      </c>
      <c r="C24" s="195">
        <f>C12+1.5</f>
        <v>4.8</v>
      </c>
      <c r="D24" s="195">
        <f t="shared" si="3"/>
        <v>4.8</v>
      </c>
      <c r="E24" s="194">
        <f>D24/(100+D24)*100</f>
        <v>4.5801526717557248</v>
      </c>
      <c r="F24" s="369">
        <v>1193.7</v>
      </c>
      <c r="G24" s="370">
        <v>1190.5999999999999</v>
      </c>
      <c r="H24" s="370">
        <v>689</v>
      </c>
      <c r="I24" s="194">
        <f>F24-G24</f>
        <v>3.1000000000001364</v>
      </c>
      <c r="J24" s="196">
        <f>F24-H24</f>
        <v>504.70000000000005</v>
      </c>
      <c r="K24" s="194">
        <f t="shared" si="0"/>
        <v>2.8310502283106271</v>
      </c>
      <c r="L24" s="195">
        <f t="shared" si="1"/>
        <v>501.86894977168942</v>
      </c>
      <c r="M24" s="196">
        <f>G24/L24*1000</f>
        <v>2372.3324595825834</v>
      </c>
      <c r="N24" s="193">
        <f>(100/((C22/Q34)+(P24/Q35)))*1000</f>
        <v>2687.2191178691237</v>
      </c>
      <c r="O24" s="194">
        <f>E24*M24/Q34/1000</f>
        <v>10.549169760242718</v>
      </c>
      <c r="P24" s="194">
        <f t="shared" si="2"/>
        <v>85.842852144561377</v>
      </c>
      <c r="Q24" s="379">
        <f>100-O24-P24</f>
        <v>3.6079780951959037</v>
      </c>
      <c r="R24" s="194">
        <f>100-P24</f>
        <v>14.157147855438623</v>
      </c>
      <c r="S24" s="194">
        <f>(O24/R24)*100</f>
        <v>74.514795409091803</v>
      </c>
      <c r="T24" s="371">
        <v>429</v>
      </c>
      <c r="U24" s="374">
        <v>6.33</v>
      </c>
      <c r="V24" s="196">
        <f>T24*F34</f>
        <v>1630.1999999999998</v>
      </c>
      <c r="W24" s="375">
        <v>1.0069999999999999</v>
      </c>
      <c r="X24" s="196">
        <f>V24*W24</f>
        <v>1641.6113999999995</v>
      </c>
      <c r="Y24" s="195">
        <v>3.7</v>
      </c>
      <c r="Z24" s="193"/>
      <c r="AA24" s="371">
        <v>140</v>
      </c>
      <c r="AB24" s="195">
        <f>(AA24*E36)/100</f>
        <v>3.556</v>
      </c>
    </row>
    <row r="25" spans="1:28" s="198" customFormat="1" ht="11.25" customHeight="1">
      <c r="A25" s="323"/>
      <c r="B25" s="323"/>
      <c r="C25" s="324"/>
      <c r="D25" s="324"/>
      <c r="E25" s="325"/>
      <c r="F25" s="372"/>
      <c r="G25" s="373"/>
      <c r="H25" s="373"/>
      <c r="I25" s="325"/>
      <c r="J25" s="326"/>
      <c r="K25" s="325"/>
      <c r="L25" s="324"/>
      <c r="M25" s="327">
        <f>AVERAGE(M22,M23,M24)</f>
        <v>2375.1630605429386</v>
      </c>
      <c r="N25" s="328"/>
      <c r="O25" s="329"/>
      <c r="P25" s="194">
        <f t="shared" si="2"/>
        <v>90.070650760065945</v>
      </c>
      <c r="Q25" s="380">
        <f>AVERAGE(Q22,Q23,Q24)</f>
        <v>3.4929658216538022</v>
      </c>
      <c r="R25" s="329">
        <f>AVERAGE(R22,R23,R24)</f>
        <v>14.05472255718899</v>
      </c>
      <c r="S25" s="329">
        <f>AVERAGE(S22:S24)</f>
        <v>75.160505863608535</v>
      </c>
      <c r="T25" s="371"/>
      <c r="U25" s="374"/>
      <c r="V25" s="327"/>
      <c r="W25" s="375"/>
      <c r="X25" s="327">
        <f>AVERAGE(X22,X23,X24)</f>
        <v>1678.7703333333332</v>
      </c>
      <c r="Y25" s="330"/>
      <c r="Z25" s="328"/>
      <c r="AA25" s="371"/>
      <c r="AB25" s="331">
        <f>AVERAGE(AB22:AB24)</f>
        <v>3.5559999999999996</v>
      </c>
    </row>
    <row r="26" spans="1:28" s="320" customFormat="1" ht="11.25" customHeight="1">
      <c r="A26" s="193">
        <f>A24+1</f>
        <v>650</v>
      </c>
      <c r="B26" s="193">
        <v>1</v>
      </c>
      <c r="C26" s="195">
        <f>C10+2</f>
        <v>5.3</v>
      </c>
      <c r="D26" s="195">
        <f t="shared" si="3"/>
        <v>5.3</v>
      </c>
      <c r="E26" s="194">
        <f>D26/(100+D26)*100</f>
        <v>5.0332383665717</v>
      </c>
      <c r="F26" s="369">
        <v>1184.4000000000001</v>
      </c>
      <c r="G26" s="370">
        <v>1180</v>
      </c>
      <c r="H26" s="370">
        <v>679.8</v>
      </c>
      <c r="I26" s="194">
        <f>F26-G26</f>
        <v>4.4000000000000909</v>
      </c>
      <c r="J26" s="196">
        <f>F26-H26</f>
        <v>504.60000000000014</v>
      </c>
      <c r="K26" s="194">
        <f t="shared" si="0"/>
        <v>4.0182648401827317</v>
      </c>
      <c r="L26" s="195">
        <f t="shared" si="1"/>
        <v>500.58173515981741</v>
      </c>
      <c r="M26" s="196">
        <f>G26/L26*1000</f>
        <v>2357.2574009782224</v>
      </c>
      <c r="N26" s="193">
        <f>(100/((C26/Q34)+(P26/Q35)))*1000</f>
        <v>2678.2238010364194</v>
      </c>
      <c r="O26" s="194">
        <f>E26*M26/Q34/1000</f>
        <v>11.519066398532697</v>
      </c>
      <c r="P26" s="194">
        <f t="shared" si="2"/>
        <v>84.892340427506099</v>
      </c>
      <c r="Q26" s="379">
        <f>100-O26-P26</f>
        <v>3.5885931739612005</v>
      </c>
      <c r="R26" s="194">
        <f>100-P26</f>
        <v>15.107659572493901</v>
      </c>
      <c r="S26" s="194">
        <f>(O26/R26)*100</f>
        <v>76.246531391964538</v>
      </c>
      <c r="T26" s="371">
        <v>405</v>
      </c>
      <c r="U26" s="374">
        <v>6.27</v>
      </c>
      <c r="V26" s="196">
        <f>T26*F34</f>
        <v>1539</v>
      </c>
      <c r="W26" s="375">
        <v>1.024</v>
      </c>
      <c r="X26" s="196">
        <f>V26*W26</f>
        <v>1575.9359999999999</v>
      </c>
      <c r="Y26" s="195"/>
      <c r="Z26" s="193"/>
      <c r="AA26" s="371">
        <v>150</v>
      </c>
      <c r="AB26" s="195">
        <f>(AA26*E36)/100</f>
        <v>3.81</v>
      </c>
    </row>
    <row r="27" spans="1:28" s="320" customFormat="1" ht="11.25" customHeight="1">
      <c r="A27" s="193">
        <f>A26+1</f>
        <v>651</v>
      </c>
      <c r="B27" s="193">
        <v>2</v>
      </c>
      <c r="C27" s="195">
        <f>C11+2</f>
        <v>5.3</v>
      </c>
      <c r="D27" s="195">
        <f t="shared" si="3"/>
        <v>5.3</v>
      </c>
      <c r="E27" s="194">
        <f>D27/(100+D27)*100</f>
        <v>5.0332383665717</v>
      </c>
      <c r="F27" s="369">
        <v>1182.7</v>
      </c>
      <c r="G27" s="370">
        <v>1179.7</v>
      </c>
      <c r="H27" s="370">
        <v>686.5</v>
      </c>
      <c r="I27" s="194">
        <f>F27-G27</f>
        <v>3</v>
      </c>
      <c r="J27" s="196">
        <f>F27-H27</f>
        <v>496.20000000000005</v>
      </c>
      <c r="K27" s="194">
        <f t="shared" si="0"/>
        <v>2.7397260273972601</v>
      </c>
      <c r="L27" s="195">
        <f t="shared" si="1"/>
        <v>493.46027397260281</v>
      </c>
      <c r="M27" s="196">
        <f>G27/L27*1000</f>
        <v>2390.6686358008578</v>
      </c>
      <c r="N27" s="193">
        <f>(100/((C26/Q34)+(P27/Q35)))*1000</f>
        <v>2645.8897970006537</v>
      </c>
      <c r="O27" s="194">
        <f>E27*M27/Q34/1000</f>
        <v>11.682335048031558</v>
      </c>
      <c r="P27" s="194">
        <f t="shared" si="2"/>
        <v>86.095585316880275</v>
      </c>
      <c r="Q27" s="379">
        <f>100-O27-P27</f>
        <v>2.2220796350881642</v>
      </c>
      <c r="R27" s="194">
        <f>100-P27</f>
        <v>13.904414683119725</v>
      </c>
      <c r="S27" s="194">
        <f>(O27/R27)*100</f>
        <v>84.018891224627936</v>
      </c>
      <c r="T27" s="371">
        <v>410</v>
      </c>
      <c r="U27" s="374">
        <v>6.17</v>
      </c>
      <c r="V27" s="196">
        <f>T27*F34</f>
        <v>1558</v>
      </c>
      <c r="W27" s="375">
        <v>1.052</v>
      </c>
      <c r="X27" s="196">
        <f>V27*W27</f>
        <v>1639.0160000000001</v>
      </c>
      <c r="Y27" s="195">
        <v>3.7</v>
      </c>
      <c r="Z27" s="193"/>
      <c r="AA27" s="371">
        <v>150</v>
      </c>
      <c r="AB27" s="195">
        <f>(AA27*E36)/100</f>
        <v>3.81</v>
      </c>
    </row>
    <row r="28" spans="1:28" s="320" customFormat="1" ht="11.25" customHeight="1">
      <c r="A28" s="193">
        <f>A27+1</f>
        <v>652</v>
      </c>
      <c r="B28" s="193">
        <v>3</v>
      </c>
      <c r="C28" s="195">
        <f>C12+2</f>
        <v>5.3</v>
      </c>
      <c r="D28" s="195">
        <f t="shared" si="3"/>
        <v>5.3</v>
      </c>
      <c r="E28" s="194">
        <f>D28/(100+D28)*100</f>
        <v>5.0332383665717</v>
      </c>
      <c r="F28" s="369">
        <v>1181.5</v>
      </c>
      <c r="G28" s="370">
        <v>1178.8</v>
      </c>
      <c r="H28" s="370">
        <v>686.5</v>
      </c>
      <c r="I28" s="194">
        <f>F28-G28</f>
        <v>2.7000000000000455</v>
      </c>
      <c r="J28" s="196">
        <f>F28-H28</f>
        <v>495</v>
      </c>
      <c r="K28" s="194">
        <f t="shared" si="0"/>
        <v>2.4657534246575756</v>
      </c>
      <c r="L28" s="195">
        <f t="shared" si="1"/>
        <v>492.53424657534242</v>
      </c>
      <c r="M28" s="196">
        <f>G28/L28*1000</f>
        <v>2393.3361145876788</v>
      </c>
      <c r="N28" s="193">
        <f>(100/((C26/Q34)+(P28/Q35)))*1000</f>
        <v>2643.341943705163</v>
      </c>
      <c r="O28" s="194">
        <f>E28*M28/Q34/1000</f>
        <v>11.695370054411988</v>
      </c>
      <c r="P28" s="194">
        <f t="shared" si="2"/>
        <v>86.191649716618713</v>
      </c>
      <c r="Q28" s="379">
        <f>100-O28-P28</f>
        <v>2.1129802289692918</v>
      </c>
      <c r="R28" s="194">
        <f>100-P28</f>
        <v>13.808350283381287</v>
      </c>
      <c r="S28" s="194">
        <f>(O28/R28)*100</f>
        <v>84.697808314492676</v>
      </c>
      <c r="T28" s="371">
        <v>410</v>
      </c>
      <c r="U28" s="374">
        <v>6.18</v>
      </c>
      <c r="V28" s="196">
        <f>T28*F34</f>
        <v>1558</v>
      </c>
      <c r="W28" s="375">
        <v>1.0489999999999999</v>
      </c>
      <c r="X28" s="196">
        <f>V28*W28</f>
        <v>1634.3419999999999</v>
      </c>
      <c r="Y28" s="195">
        <v>3.7</v>
      </c>
      <c r="Z28" s="193"/>
      <c r="AA28" s="371">
        <v>150</v>
      </c>
      <c r="AB28" s="195">
        <f>(AA28*E36)/100</f>
        <v>3.81</v>
      </c>
    </row>
    <row r="29" spans="1:28" s="320" customFormat="1" ht="11.25" customHeight="1">
      <c r="A29" s="193"/>
      <c r="B29" s="193"/>
      <c r="C29" s="195"/>
      <c r="D29" s="195"/>
      <c r="E29" s="194"/>
      <c r="F29" s="369"/>
      <c r="G29" s="371"/>
      <c r="H29" s="371"/>
      <c r="I29" s="194"/>
      <c r="J29" s="196"/>
      <c r="K29" s="194"/>
      <c r="L29" s="195"/>
      <c r="M29" s="196">
        <f>AVERAGE(M26,M27,M28)</f>
        <v>2380.4207171222529</v>
      </c>
      <c r="N29" s="193"/>
      <c r="O29" s="194"/>
      <c r="P29" s="194">
        <f t="shared" si="2"/>
        <v>90.270030986812785</v>
      </c>
      <c r="Q29" s="379">
        <f>AVERAGE(Q26,Q27,Q28)</f>
        <v>2.6412176793395523</v>
      </c>
      <c r="R29" s="194">
        <f>AVERAGE(R26,R27,R28)</f>
        <v>14.273474846331638</v>
      </c>
      <c r="S29" s="194">
        <f>AVERAGE(S26:S28)</f>
        <v>81.654410310361712</v>
      </c>
      <c r="T29" s="371"/>
      <c r="U29" s="374"/>
      <c r="V29" s="196"/>
      <c r="W29" s="375"/>
      <c r="X29" s="196">
        <f>AVERAGE(X26,X27,X28)</f>
        <v>1616.4313333333332</v>
      </c>
      <c r="Y29" s="242"/>
      <c r="Z29" s="193"/>
      <c r="AA29" s="371"/>
      <c r="AB29" s="195">
        <f>AVERAGE(AB26:AB28)</f>
        <v>3.81</v>
      </c>
    </row>
    <row r="30" spans="1:28" ht="11.25" customHeight="1">
      <c r="A30" s="193">
        <f>A28+1</f>
        <v>653</v>
      </c>
      <c r="B30" s="193">
        <v>1</v>
      </c>
      <c r="C30" s="195">
        <f>C10+2.5</f>
        <v>5.8</v>
      </c>
      <c r="D30" s="195">
        <f t="shared" si="3"/>
        <v>5.8</v>
      </c>
      <c r="E30" s="194">
        <f>D30/(100+D30)*100</f>
        <v>5.4820415879017013</v>
      </c>
      <c r="F30" s="369">
        <v>1192.5999999999999</v>
      </c>
      <c r="G30" s="370">
        <v>1189.9000000000001</v>
      </c>
      <c r="H30" s="370">
        <v>691.9</v>
      </c>
      <c r="I30" s="194">
        <f>F30-G30</f>
        <v>2.6999999999998181</v>
      </c>
      <c r="J30" s="196">
        <f>F30-H30</f>
        <v>500.69999999999993</v>
      </c>
      <c r="K30" s="194">
        <f t="shared" si="0"/>
        <v>2.4657534246573682</v>
      </c>
      <c r="L30" s="195">
        <f t="shared" si="1"/>
        <v>498.23424657534258</v>
      </c>
      <c r="M30" s="196">
        <f>G30/L30*1000</f>
        <v>2388.234064958167</v>
      </c>
      <c r="N30" s="193">
        <f>(100/((C30/Q34)+(P30/Q35)))*1000</f>
        <v>2625.1873360960822</v>
      </c>
      <c r="O30" s="194">
        <f>E30*M30/Q34/1000</f>
        <v>12.711066471596316</v>
      </c>
      <c r="P30" s="194">
        <f t="shared" si="2"/>
        <v>85.60144407662969</v>
      </c>
      <c r="Q30" s="379">
        <f>100-O30-P30</f>
        <v>1.6874894517739989</v>
      </c>
      <c r="R30" s="194">
        <f>100-P30</f>
        <v>14.39855592337031</v>
      </c>
      <c r="S30" s="194">
        <f>(O30/R30)*100</f>
        <v>88.280147948482607</v>
      </c>
      <c r="T30" s="371">
        <v>370</v>
      </c>
      <c r="U30" s="374">
        <v>6.23</v>
      </c>
      <c r="V30" s="196">
        <f>T30*F34</f>
        <v>1406</v>
      </c>
      <c r="W30" s="375">
        <v>1.0349999999999999</v>
      </c>
      <c r="X30" s="196">
        <f>V30*W30</f>
        <v>1455.2099999999998</v>
      </c>
      <c r="Y30" s="195"/>
      <c r="Z30" s="193"/>
      <c r="AA30" s="371">
        <v>165</v>
      </c>
      <c r="AB30" s="195">
        <f>(AA30*E36)/100</f>
        <v>4.1909999999999998</v>
      </c>
    </row>
    <row r="31" spans="1:28" ht="11.25" customHeight="1">
      <c r="A31" s="193">
        <f>A30+1</f>
        <v>654</v>
      </c>
      <c r="B31" s="193">
        <v>2</v>
      </c>
      <c r="C31" s="195">
        <f>C11+2.5</f>
        <v>5.8</v>
      </c>
      <c r="D31" s="195">
        <f t="shared" si="3"/>
        <v>5.8</v>
      </c>
      <c r="E31" s="194">
        <f>D31/(100+D31)*100</f>
        <v>5.4820415879017013</v>
      </c>
      <c r="F31" s="369">
        <v>1185.3</v>
      </c>
      <c r="G31" s="370">
        <v>1183.0999999999999</v>
      </c>
      <c r="H31" s="370">
        <v>688.2</v>
      </c>
      <c r="I31" s="194">
        <f>F31-G31</f>
        <v>2.2000000000000455</v>
      </c>
      <c r="J31" s="196">
        <f>F31-H31</f>
        <v>497.09999999999991</v>
      </c>
      <c r="K31" s="194">
        <f t="shared" si="0"/>
        <v>2.0091324200913658</v>
      </c>
      <c r="L31" s="195">
        <f t="shared" si="1"/>
        <v>495.09086757990855</v>
      </c>
      <c r="M31" s="196">
        <f>G31/L31*1000</f>
        <v>2389.6623377102496</v>
      </c>
      <c r="N31" s="193">
        <f>(100/((C30/Q34)+(P31/Q35)))*1000</f>
        <v>2623.8501202225216</v>
      </c>
      <c r="O31" s="194">
        <f>E31*M31/Q34/1000</f>
        <v>12.718668268320377</v>
      </c>
      <c r="P31" s="194">
        <f t="shared" si="2"/>
        <v>85.652637639232069</v>
      </c>
      <c r="Q31" s="379">
        <f>100-O31-P31</f>
        <v>1.6286940924475601</v>
      </c>
      <c r="R31" s="194">
        <f>100-P31</f>
        <v>14.347362360767931</v>
      </c>
      <c r="S31" s="194">
        <f>(O31/R31)*100</f>
        <v>88.648128823308113</v>
      </c>
      <c r="T31" s="371">
        <v>380</v>
      </c>
      <c r="U31" s="374">
        <v>6.23</v>
      </c>
      <c r="V31" s="196">
        <f>T31*F34</f>
        <v>1444</v>
      </c>
      <c r="W31" s="375">
        <v>1.0349999999999999</v>
      </c>
      <c r="X31" s="196">
        <f>V31*W31</f>
        <v>1494.54</v>
      </c>
      <c r="Y31" s="195">
        <v>3.7</v>
      </c>
      <c r="Z31" s="193"/>
      <c r="AA31" s="371">
        <v>165</v>
      </c>
      <c r="AB31" s="195">
        <f>(AA31*E36)/100</f>
        <v>4.1909999999999998</v>
      </c>
    </row>
    <row r="32" spans="1:28" ht="11.25" customHeight="1">
      <c r="A32" s="193">
        <f>A31+1</f>
        <v>655</v>
      </c>
      <c r="B32" s="193">
        <v>3</v>
      </c>
      <c r="C32" s="195">
        <f>C12+2.5</f>
        <v>5.8</v>
      </c>
      <c r="D32" s="195">
        <f t="shared" si="3"/>
        <v>5.8</v>
      </c>
      <c r="E32" s="194">
        <f>D32/(100+D32)*100</f>
        <v>5.4820415879017013</v>
      </c>
      <c r="F32" s="369">
        <v>1192.8</v>
      </c>
      <c r="G32" s="370">
        <v>1189.8</v>
      </c>
      <c r="H32" s="370">
        <v>690.7</v>
      </c>
      <c r="I32" s="194">
        <f>F32-G32</f>
        <v>3</v>
      </c>
      <c r="J32" s="196">
        <f>F32-H32</f>
        <v>502.09999999999991</v>
      </c>
      <c r="K32" s="194">
        <f t="shared" si="0"/>
        <v>2.7397260273972601</v>
      </c>
      <c r="L32" s="195">
        <f t="shared" si="1"/>
        <v>499.36027397260267</v>
      </c>
      <c r="M32" s="196">
        <f>G32/L32*1000</f>
        <v>2382.6484844993461</v>
      </c>
      <c r="N32" s="193">
        <f>(100/((C30/Q34)+(P32/Q35)))*1000</f>
        <v>2630.4299321777489</v>
      </c>
      <c r="O32" s="194">
        <f>E32*M32/Q34/1000</f>
        <v>12.681337943083861</v>
      </c>
      <c r="P32" s="194">
        <f t="shared" si="2"/>
        <v>85.401240185270467</v>
      </c>
      <c r="Q32" s="379">
        <f>100-O32-P32</f>
        <v>1.9174218716456721</v>
      </c>
      <c r="R32" s="194">
        <f>100-P32</f>
        <v>14.598759814729533</v>
      </c>
      <c r="S32" s="194">
        <f>(O32/R32)*100</f>
        <v>86.865857812722737</v>
      </c>
      <c r="T32" s="371">
        <v>375</v>
      </c>
      <c r="U32" s="374">
        <v>6.25</v>
      </c>
      <c r="V32" s="196">
        <f>T32*F34</f>
        <v>1425</v>
      </c>
      <c r="W32" s="375">
        <v>1.0289999999999999</v>
      </c>
      <c r="X32" s="196">
        <f>V32*W32</f>
        <v>1466.3249999999998</v>
      </c>
      <c r="Y32" s="195">
        <v>3.7</v>
      </c>
      <c r="Z32" s="193"/>
      <c r="AA32" s="371">
        <v>165</v>
      </c>
      <c r="AB32" s="195">
        <f>(AA32*E36)/100</f>
        <v>4.1909999999999998</v>
      </c>
    </row>
    <row r="33" spans="1:28" ht="11.25" customHeight="1">
      <c r="A33" s="193"/>
      <c r="B33" s="193"/>
      <c r="C33" s="195"/>
      <c r="D33" s="194"/>
      <c r="E33" s="194"/>
      <c r="F33" s="369"/>
      <c r="G33" s="371"/>
      <c r="H33" s="371"/>
      <c r="I33" s="194"/>
      <c r="J33" s="196"/>
      <c r="K33" s="194"/>
      <c r="L33" s="195"/>
      <c r="M33" s="196">
        <f>AVERAGE(M30,M31,M32)</f>
        <v>2386.8482957225879</v>
      </c>
      <c r="N33" s="193"/>
      <c r="O33" s="194"/>
      <c r="P33" s="194"/>
      <c r="Q33" s="379">
        <f>AVERAGE(Q30,Q31,Q32)</f>
        <v>1.7445351386224104</v>
      </c>
      <c r="R33" s="194">
        <f>AVERAGE(R30,R31,R32)</f>
        <v>14.448226032955924</v>
      </c>
      <c r="S33" s="194">
        <f>AVERAGE(S30:S32)</f>
        <v>87.931378194837819</v>
      </c>
      <c r="T33" s="371"/>
      <c r="U33" s="374"/>
      <c r="V33" s="196"/>
      <c r="W33" s="197"/>
      <c r="X33" s="196">
        <f>AVERAGE(X30,X31,X32)</f>
        <v>1472.0249999999999</v>
      </c>
      <c r="Y33" s="242"/>
      <c r="Z33" s="193"/>
      <c r="AA33" s="193"/>
      <c r="AB33" s="195">
        <f>AVERAGE(AB32)</f>
        <v>4.1909999999999998</v>
      </c>
    </row>
    <row r="34" spans="1:28">
      <c r="A34" s="199"/>
      <c r="B34" s="200" t="s">
        <v>308</v>
      </c>
      <c r="C34" s="200"/>
      <c r="D34" s="200"/>
      <c r="E34" s="200"/>
      <c r="F34" s="800">
        <v>3.8</v>
      </c>
      <c r="G34" s="800"/>
      <c r="H34" s="800"/>
      <c r="I34" s="800"/>
      <c r="J34" s="800"/>
      <c r="K34" s="200" t="s">
        <v>428</v>
      </c>
      <c r="L34" s="200"/>
      <c r="M34" s="200"/>
      <c r="N34" s="200"/>
      <c r="O34" s="200"/>
      <c r="P34" s="200"/>
      <c r="Q34" s="800">
        <v>1.03</v>
      </c>
      <c r="R34" s="800"/>
      <c r="S34" s="800"/>
      <c r="T34" s="801"/>
      <c r="U34" s="201"/>
      <c r="V34" s="202"/>
      <c r="W34" s="202"/>
      <c r="X34" s="202"/>
      <c r="Y34" s="202"/>
      <c r="Z34" s="202"/>
      <c r="AA34" s="202"/>
      <c r="AB34" s="203"/>
    </row>
    <row r="35" spans="1:28">
      <c r="A35" s="204"/>
      <c r="B35" s="205" t="s">
        <v>309</v>
      </c>
      <c r="C35" s="205"/>
      <c r="D35" s="205"/>
      <c r="E35" s="205"/>
      <c r="F35" s="205"/>
      <c r="G35" s="802"/>
      <c r="H35" s="803"/>
      <c r="I35" s="803"/>
      <c r="J35" s="803"/>
      <c r="K35" s="205" t="s">
        <v>429</v>
      </c>
      <c r="L35" s="205"/>
      <c r="M35" s="205"/>
      <c r="N35" s="205"/>
      <c r="O35" s="205"/>
      <c r="P35" s="205"/>
      <c r="Q35" s="804">
        <f>'INFORME PETREO FISICO'!Q43:S43</f>
        <v>2.6370183651422403</v>
      </c>
      <c r="R35" s="804"/>
      <c r="S35" s="206"/>
      <c r="T35" s="337"/>
      <c r="U35" s="207"/>
      <c r="V35" s="208"/>
      <c r="W35" s="208"/>
      <c r="X35" s="208"/>
      <c r="Y35" s="208"/>
      <c r="Z35" s="208"/>
      <c r="AA35" s="208"/>
      <c r="AB35" s="209"/>
    </row>
    <row r="36" spans="1:28">
      <c r="A36" s="204"/>
      <c r="B36" s="205" t="s">
        <v>310</v>
      </c>
      <c r="C36" s="205"/>
      <c r="D36" s="205"/>
      <c r="E36" s="807">
        <v>2.54</v>
      </c>
      <c r="F36" s="807"/>
      <c r="G36" s="807"/>
      <c r="H36" s="807"/>
      <c r="I36" s="807"/>
      <c r="J36" s="807"/>
      <c r="K36" s="205" t="s">
        <v>430</v>
      </c>
      <c r="L36" s="205"/>
      <c r="M36" s="205"/>
      <c r="N36" s="205"/>
      <c r="O36" s="807">
        <v>1.095</v>
      </c>
      <c r="P36" s="807"/>
      <c r="Q36" s="807"/>
      <c r="R36" s="807"/>
      <c r="S36" s="807"/>
      <c r="T36" s="808"/>
      <c r="U36" s="207"/>
      <c r="V36" s="208"/>
      <c r="W36" s="208"/>
      <c r="X36" s="208"/>
      <c r="Y36" s="208"/>
      <c r="Z36" s="208"/>
      <c r="AA36" s="208"/>
      <c r="AB36" s="209"/>
    </row>
    <row r="37" spans="1:28" ht="3" customHeight="1">
      <c r="A37" s="210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381"/>
      <c r="R37" s="211"/>
      <c r="S37" s="211"/>
      <c r="T37" s="211"/>
      <c r="U37" s="212"/>
      <c r="V37" s="211"/>
      <c r="W37" s="211"/>
      <c r="X37" s="211"/>
      <c r="Y37" s="211"/>
      <c r="Z37" s="211"/>
      <c r="AA37" s="211"/>
      <c r="AB37" s="322"/>
    </row>
    <row r="38" spans="1:28" ht="15" customHeight="1">
      <c r="A38" s="821" t="s">
        <v>467</v>
      </c>
      <c r="B38" s="822"/>
      <c r="C38" s="822"/>
      <c r="D38" s="822"/>
      <c r="E38" s="822"/>
      <c r="F38" s="822"/>
      <c r="G38" s="822"/>
      <c r="H38" s="823"/>
      <c r="I38" s="824" t="s">
        <v>468</v>
      </c>
      <c r="J38" s="825"/>
      <c r="K38" s="825"/>
      <c r="L38" s="825"/>
      <c r="M38" s="825"/>
      <c r="N38" s="825"/>
      <c r="O38" s="825"/>
      <c r="P38" s="826"/>
      <c r="Q38" s="821" t="s">
        <v>450</v>
      </c>
      <c r="R38" s="822"/>
      <c r="S38" s="822"/>
      <c r="T38" s="822"/>
      <c r="U38" s="822"/>
      <c r="V38" s="822"/>
      <c r="W38" s="822"/>
      <c r="X38" s="822"/>
      <c r="Y38" s="822"/>
      <c r="Z38" s="822"/>
      <c r="AA38" s="822"/>
      <c r="AB38" s="823"/>
    </row>
    <row r="39" spans="1:28">
      <c r="A39" s="833" t="str">
        <f>'INFORME ASFALTO'!A38</f>
        <v>C. JULIO CESAR GARCIA RODRIGUEZ</v>
      </c>
      <c r="B39" s="834"/>
      <c r="C39" s="834"/>
      <c r="D39" s="834"/>
      <c r="E39" s="834"/>
      <c r="F39" s="834"/>
      <c r="G39" s="834"/>
      <c r="H39" s="835"/>
      <c r="I39" s="827" t="str">
        <f>'INFORME ASFALTO'!E38</f>
        <v>ING. JOSE LUIS TAMAYO AMAYA</v>
      </c>
      <c r="J39" s="828"/>
      <c r="K39" s="828"/>
      <c r="L39" s="828"/>
      <c r="M39" s="828"/>
      <c r="N39" s="828"/>
      <c r="O39" s="828"/>
      <c r="P39" s="829"/>
      <c r="Q39" s="833" t="str">
        <f>'INFORME ASFALTO'!J38</f>
        <v>ARQ. CARLOS G. TAMAYO AMAYA</v>
      </c>
      <c r="R39" s="834"/>
      <c r="S39" s="834"/>
      <c r="T39" s="834"/>
      <c r="U39" s="834"/>
      <c r="V39" s="834"/>
      <c r="W39" s="834"/>
      <c r="X39" s="834"/>
      <c r="Y39" s="834"/>
      <c r="Z39" s="834"/>
      <c r="AA39" s="834"/>
      <c r="AB39" s="835"/>
    </row>
    <row r="40" spans="1:28" ht="14.25" customHeight="1">
      <c r="A40" s="836"/>
      <c r="B40" s="837"/>
      <c r="C40" s="837"/>
      <c r="D40" s="837"/>
      <c r="E40" s="837"/>
      <c r="F40" s="837"/>
      <c r="G40" s="837"/>
      <c r="H40" s="838"/>
      <c r="I40" s="830"/>
      <c r="J40" s="831"/>
      <c r="K40" s="831"/>
      <c r="L40" s="831"/>
      <c r="M40" s="831"/>
      <c r="N40" s="831"/>
      <c r="O40" s="831"/>
      <c r="P40" s="832"/>
      <c r="Q40" s="836"/>
      <c r="R40" s="837"/>
      <c r="S40" s="837"/>
      <c r="T40" s="837"/>
      <c r="U40" s="837"/>
      <c r="V40" s="837"/>
      <c r="W40" s="837"/>
      <c r="X40" s="837"/>
      <c r="Y40" s="837"/>
      <c r="Z40" s="837"/>
      <c r="AA40" s="837"/>
      <c r="AB40" s="838"/>
    </row>
    <row r="41" spans="1:28">
      <c r="Q41" s="382" t="s">
        <v>311</v>
      </c>
    </row>
  </sheetData>
  <mergeCells count="45">
    <mergeCell ref="A38:H38"/>
    <mergeCell ref="I38:P38"/>
    <mergeCell ref="Q38:AB38"/>
    <mergeCell ref="I39:P40"/>
    <mergeCell ref="A39:H40"/>
    <mergeCell ref="Q39:AB40"/>
    <mergeCell ref="A1:AB1"/>
    <mergeCell ref="X2:AB2"/>
    <mergeCell ref="A5:A7"/>
    <mergeCell ref="B5:C6"/>
    <mergeCell ref="D5:E6"/>
    <mergeCell ref="F5:H6"/>
    <mergeCell ref="J5:L5"/>
    <mergeCell ref="M5:M7"/>
    <mergeCell ref="Z5:Z7"/>
    <mergeCell ref="AA5:AA7"/>
    <mergeCell ref="T6:T7"/>
    <mergeCell ref="U6:U7"/>
    <mergeCell ref="V6:V7"/>
    <mergeCell ref="W6:W7"/>
    <mergeCell ref="Q6:Q7"/>
    <mergeCell ref="AB5:AB7"/>
    <mergeCell ref="G35:J35"/>
    <mergeCell ref="Q35:R35"/>
    <mergeCell ref="V4:W4"/>
    <mergeCell ref="A4:U4"/>
    <mergeCell ref="E36:J36"/>
    <mergeCell ref="O36:T36"/>
    <mergeCell ref="J6:J7"/>
    <mergeCell ref="K6:K7"/>
    <mergeCell ref="L6:L7"/>
    <mergeCell ref="O6:O7"/>
    <mergeCell ref="P6:P7"/>
    <mergeCell ref="R6:R7"/>
    <mergeCell ref="S6:S7"/>
    <mergeCell ref="N5:N7"/>
    <mergeCell ref="O5:Q5"/>
    <mergeCell ref="R5:S5"/>
    <mergeCell ref="T5:X5"/>
    <mergeCell ref="I6:I7"/>
    <mergeCell ref="Y6:Y7"/>
    <mergeCell ref="A8:C8"/>
    <mergeCell ref="F34:J34"/>
    <mergeCell ref="Q34:T34"/>
    <mergeCell ref="X6:X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abSelected="1" zoomScale="120" zoomScaleNormal="120" workbookViewId="0">
      <selection activeCell="B6" sqref="B6:E9"/>
    </sheetView>
  </sheetViews>
  <sheetFormatPr baseColWidth="10" defaultRowHeight="15"/>
  <cols>
    <col min="1" max="1" width="10.7109375" style="267" customWidth="1"/>
    <col min="2" max="2" width="11.42578125" style="267" customWidth="1"/>
    <col min="3" max="3" width="11.42578125" style="267"/>
    <col min="4" max="4" width="8.140625" style="267" customWidth="1"/>
    <col min="5" max="5" width="20.140625" style="267" customWidth="1"/>
    <col min="6" max="6" width="13.7109375" style="267" customWidth="1"/>
    <col min="7" max="7" width="14" style="267" customWidth="1"/>
    <col min="8" max="16384" width="11.42578125" style="267"/>
  </cols>
  <sheetData>
    <row r="3" spans="1:7">
      <c r="B3" s="866" t="s">
        <v>339</v>
      </c>
      <c r="C3" s="866"/>
      <c r="D3" s="866"/>
      <c r="E3" s="866"/>
    </row>
    <row r="4" spans="1:7">
      <c r="B4" s="866"/>
      <c r="C4" s="866"/>
      <c r="D4" s="866"/>
      <c r="E4" s="866"/>
      <c r="F4" s="867"/>
      <c r="G4" s="867"/>
    </row>
    <row r="6" spans="1:7" ht="17.100000000000001" customHeight="1">
      <c r="A6" s="868" t="s">
        <v>14</v>
      </c>
      <c r="B6" s="869" t="str">
        <f>VISCOSIDAD!B4</f>
        <v>SAN LUIS DEL CORDERO - SAN PEDRO DEL GALLO</v>
      </c>
      <c r="C6" s="870"/>
      <c r="D6" s="870"/>
      <c r="E6" s="871"/>
      <c r="F6" s="359" t="s">
        <v>464</v>
      </c>
      <c r="G6" s="360" t="s">
        <v>473</v>
      </c>
    </row>
    <row r="7" spans="1:7" ht="17.100000000000001" customHeight="1">
      <c r="A7" s="868"/>
      <c r="B7" s="872"/>
      <c r="C7" s="873"/>
      <c r="D7" s="873"/>
      <c r="E7" s="874"/>
      <c r="F7" s="268" t="s">
        <v>313</v>
      </c>
      <c r="G7" s="269">
        <f>'INFORME PETREO FISICO'!X11</f>
        <v>42341</v>
      </c>
    </row>
    <row r="8" spans="1:7" ht="17.100000000000001" customHeight="1">
      <c r="A8" s="868"/>
      <c r="B8" s="872"/>
      <c r="C8" s="873"/>
      <c r="D8" s="873"/>
      <c r="E8" s="874"/>
      <c r="F8" s="268" t="s">
        <v>314</v>
      </c>
      <c r="G8" s="270">
        <f>'INFORME PETREO FISICO'!V12</f>
        <v>42345</v>
      </c>
    </row>
    <row r="9" spans="1:7" ht="17.100000000000001" customHeight="1">
      <c r="A9" s="868"/>
      <c r="B9" s="875"/>
      <c r="C9" s="876"/>
      <c r="D9" s="876"/>
      <c r="E9" s="877"/>
      <c r="F9" s="271"/>
      <c r="G9" s="272"/>
    </row>
    <row r="10" spans="1:7">
      <c r="A10" s="273"/>
      <c r="B10" s="274"/>
      <c r="C10" s="274"/>
      <c r="D10" s="274"/>
      <c r="E10" s="274"/>
      <c r="F10" s="275"/>
      <c r="G10" s="275"/>
    </row>
    <row r="11" spans="1:7">
      <c r="A11" s="878" t="s">
        <v>340</v>
      </c>
      <c r="B11" s="878"/>
      <c r="C11" s="878"/>
      <c r="D11" s="878"/>
      <c r="E11" s="878"/>
      <c r="F11" s="878"/>
      <c r="G11" s="878"/>
    </row>
    <row r="12" spans="1:7" s="278" customFormat="1" ht="39.950000000000003" customHeight="1">
      <c r="A12" s="276" t="s">
        <v>341</v>
      </c>
      <c r="B12" s="276" t="s">
        <v>342</v>
      </c>
      <c r="C12" s="277" t="s">
        <v>343</v>
      </c>
      <c r="D12" s="276" t="s">
        <v>344</v>
      </c>
      <c r="E12" s="276" t="s">
        <v>345</v>
      </c>
      <c r="F12" s="276" t="s">
        <v>346</v>
      </c>
      <c r="G12" s="276" t="s">
        <v>256</v>
      </c>
    </row>
    <row r="13" spans="1:7">
      <c r="A13" s="279"/>
      <c r="B13" s="279"/>
      <c r="C13" s="279"/>
      <c r="D13" s="279"/>
      <c r="E13" s="279"/>
      <c r="F13" s="279"/>
      <c r="G13" s="279"/>
    </row>
    <row r="14" spans="1:7" ht="20.100000000000001" customHeight="1">
      <c r="A14" s="850">
        <v>1</v>
      </c>
      <c r="B14" s="851">
        <f>'CALCULO MARSHALL'!C10</f>
        <v>3.3</v>
      </c>
      <c r="C14" s="852">
        <f>'CALCULO MARSHALL'!M13</f>
        <v>2299.4763386119553</v>
      </c>
      <c r="D14" s="851">
        <f>'CALCULO MARSHALL'!Q13</f>
        <v>8.4533183038430675</v>
      </c>
      <c r="E14" s="853">
        <f>'CALCULO MARSHALL'!R13</f>
        <v>15.585219841845728</v>
      </c>
      <c r="F14" s="852">
        <f>'CALCULO MARSHALL'!X13</f>
        <v>1330</v>
      </c>
      <c r="G14" s="851">
        <f>'CALCULO MARSHALL'!AB13</f>
        <v>2.4129999999999998</v>
      </c>
    </row>
    <row r="15" spans="1:7" ht="20.100000000000001" customHeight="1">
      <c r="A15" s="850"/>
      <c r="B15" s="851"/>
      <c r="C15" s="850"/>
      <c r="D15" s="851"/>
      <c r="E15" s="850"/>
      <c r="F15" s="850"/>
      <c r="G15" s="851"/>
    </row>
    <row r="16" spans="1:7" ht="20.100000000000001" customHeight="1">
      <c r="A16" s="850">
        <v>2</v>
      </c>
      <c r="B16" s="851">
        <f>B14+0.5</f>
        <v>3.8</v>
      </c>
      <c r="C16" s="852">
        <f>'CALCULO MARSHALL'!M17</f>
        <v>2317.5582690007468</v>
      </c>
      <c r="D16" s="851">
        <f>'CALCULO MARSHALL'!Q17</f>
        <v>7.0940426902803226</v>
      </c>
      <c r="E16" s="853">
        <f>'CALCULO MARSHALL'!R17</f>
        <v>15.331244013028362</v>
      </c>
      <c r="F16" s="852">
        <f>'CALCULO MARSHALL'!X17</f>
        <v>1422.72</v>
      </c>
      <c r="G16" s="851">
        <f>'CALCULO MARSHALL'!AB17</f>
        <v>2.7516666666666665</v>
      </c>
    </row>
    <row r="17" spans="1:9" ht="20.100000000000001" customHeight="1">
      <c r="A17" s="850"/>
      <c r="B17" s="851"/>
      <c r="C17" s="850"/>
      <c r="D17" s="851"/>
      <c r="E17" s="850"/>
      <c r="F17" s="850"/>
      <c r="G17" s="851"/>
    </row>
    <row r="18" spans="1:9" ht="20.100000000000001" customHeight="1">
      <c r="A18" s="860">
        <v>3</v>
      </c>
      <c r="B18" s="851">
        <f>B16+0.5</f>
        <v>4.3</v>
      </c>
      <c r="C18" s="861">
        <f>'CALCULO MARSHALL'!M21</f>
        <v>2346.022246944156</v>
      </c>
      <c r="D18" s="864">
        <f>'CALCULO MARSHALL'!Q21</f>
        <v>5.3119369560660674</v>
      </c>
      <c r="E18" s="862">
        <f>'CALCULO MARSHALL'!R21</f>
        <v>14.702227903445149</v>
      </c>
      <c r="F18" s="861">
        <f>'CALCULO MARSHALL'!X21</f>
        <v>1569.2479999999998</v>
      </c>
      <c r="G18" s="864">
        <f>'CALCULO MARSHALL'!AB21</f>
        <v>3.5136666666666669</v>
      </c>
    </row>
    <row r="19" spans="1:9" ht="20.100000000000001" customHeight="1">
      <c r="A19" s="860"/>
      <c r="B19" s="851"/>
      <c r="C19" s="860"/>
      <c r="D19" s="864"/>
      <c r="E19" s="860"/>
      <c r="F19" s="860"/>
      <c r="G19" s="864"/>
    </row>
    <row r="20" spans="1:9" s="319" customFormat="1" ht="20.100000000000001" customHeight="1">
      <c r="A20" s="858">
        <v>4</v>
      </c>
      <c r="B20" s="851">
        <f t="shared" ref="B20" si="0">B18+0.5</f>
        <v>4.8</v>
      </c>
      <c r="C20" s="857">
        <f>'CALCULO MARSHALL'!M25</f>
        <v>2375.1630605429386</v>
      </c>
      <c r="D20" s="859">
        <f>'CALCULO MARSHALL'!Q25</f>
        <v>3.4929658216538022</v>
      </c>
      <c r="E20" s="863">
        <f>'CALCULO MARSHALL'!R25</f>
        <v>14.05472255718899</v>
      </c>
      <c r="F20" s="857">
        <f>'CALCULO MARSHALL'!X25</f>
        <v>1678.7703333333332</v>
      </c>
      <c r="G20" s="859">
        <f>'CALCULO MARSHALL'!AB25</f>
        <v>3.5559999999999996</v>
      </c>
      <c r="I20" s="865"/>
    </row>
    <row r="21" spans="1:9" s="319" customFormat="1" ht="20.100000000000001" customHeight="1">
      <c r="A21" s="858"/>
      <c r="B21" s="851"/>
      <c r="C21" s="858"/>
      <c r="D21" s="859"/>
      <c r="E21" s="858"/>
      <c r="F21" s="858"/>
      <c r="G21" s="859"/>
      <c r="I21" s="865"/>
    </row>
    <row r="22" spans="1:9" ht="20.100000000000001" customHeight="1">
      <c r="A22" s="854">
        <v>5</v>
      </c>
      <c r="B22" s="849">
        <f t="shared" ref="B22" si="1">B20+0.5</f>
        <v>5.3</v>
      </c>
      <c r="C22" s="855">
        <f>'CALCULO MARSHALL'!M29</f>
        <v>2380.4207171222529</v>
      </c>
      <c r="D22" s="849">
        <f>'CALCULO MARSHALL'!Q29</f>
        <v>2.6412176793395523</v>
      </c>
      <c r="E22" s="856">
        <f>'CALCULO MARSHALL'!R29</f>
        <v>14.273474846331638</v>
      </c>
      <c r="F22" s="855">
        <f>'CALCULO MARSHALL'!X29</f>
        <v>1616.4313333333332</v>
      </c>
      <c r="G22" s="849">
        <f>'CALCULO MARSHALL'!AB29</f>
        <v>3.81</v>
      </c>
    </row>
    <row r="23" spans="1:9" ht="20.100000000000001" customHeight="1">
      <c r="A23" s="854"/>
      <c r="B23" s="849"/>
      <c r="C23" s="854"/>
      <c r="D23" s="849"/>
      <c r="E23" s="854"/>
      <c r="F23" s="854"/>
      <c r="G23" s="849"/>
    </row>
    <row r="24" spans="1:9" ht="20.100000000000001" customHeight="1">
      <c r="A24" s="850">
        <v>6</v>
      </c>
      <c r="B24" s="851">
        <f t="shared" ref="B24" si="2">B22+0.5</f>
        <v>5.8</v>
      </c>
      <c r="C24" s="852">
        <f>'CALCULO MARSHALL'!M33</f>
        <v>2386.8482957225879</v>
      </c>
      <c r="D24" s="851">
        <f>'CALCULO MARSHALL'!Q33</f>
        <v>1.7445351386224104</v>
      </c>
      <c r="E24" s="853">
        <f>'CALCULO MARSHALL'!R33</f>
        <v>14.448226032955924</v>
      </c>
      <c r="F24" s="852">
        <f>'CALCULO MARSHALL'!X33</f>
        <v>1472.0249999999999</v>
      </c>
      <c r="G24" s="851">
        <f>'CALCULO MARSHALL'!AB33</f>
        <v>4.1909999999999998</v>
      </c>
    </row>
    <row r="25" spans="1:9" ht="20.100000000000001" customHeight="1">
      <c r="A25" s="850"/>
      <c r="B25" s="851"/>
      <c r="C25" s="850"/>
      <c r="D25" s="851"/>
      <c r="E25" s="850"/>
      <c r="F25" s="850"/>
      <c r="G25" s="851"/>
    </row>
    <row r="30" spans="1:9">
      <c r="A30" s="839" t="s">
        <v>165</v>
      </c>
      <c r="B30" s="840"/>
      <c r="C30" s="839" t="s">
        <v>12</v>
      </c>
      <c r="D30" s="841"/>
      <c r="E30" s="840"/>
      <c r="F30" s="839" t="s">
        <v>450</v>
      </c>
      <c r="G30" s="840"/>
    </row>
    <row r="31" spans="1:9" ht="30" customHeight="1">
      <c r="A31" s="845" t="str">
        <f>'INFORME ASFALTO'!A38</f>
        <v>C. JULIO CESAR GARCIA RODRIGUEZ</v>
      </c>
      <c r="B31" s="846"/>
      <c r="C31" s="280"/>
      <c r="D31" s="275"/>
      <c r="E31" s="281"/>
      <c r="F31" s="280"/>
      <c r="G31" s="281"/>
    </row>
    <row r="32" spans="1:9">
      <c r="A32" s="847"/>
      <c r="B32" s="848"/>
      <c r="C32" s="842" t="str">
        <f>'INFORME ASFALTO'!E38</f>
        <v>ING. JOSE LUIS TAMAYO AMAYA</v>
      </c>
      <c r="D32" s="843"/>
      <c r="E32" s="844"/>
      <c r="F32" s="842" t="str">
        <f>'INFORME ASFALTO'!J38</f>
        <v>ARQ. CARLOS G. TAMAYO AMAYA</v>
      </c>
      <c r="G32" s="844"/>
    </row>
  </sheetData>
  <mergeCells count="54">
    <mergeCell ref="I20:I21"/>
    <mergeCell ref="B3:E4"/>
    <mergeCell ref="F4:G4"/>
    <mergeCell ref="A6:A9"/>
    <mergeCell ref="B6:E9"/>
    <mergeCell ref="A11:G11"/>
    <mergeCell ref="F14:F15"/>
    <mergeCell ref="G14:G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G18:G19"/>
    <mergeCell ref="F20:F21"/>
    <mergeCell ref="G20:G21"/>
    <mergeCell ref="A18:A19"/>
    <mergeCell ref="B18:B19"/>
    <mergeCell ref="C18:C19"/>
    <mergeCell ref="D18:D19"/>
    <mergeCell ref="E18:E19"/>
    <mergeCell ref="F18:F19"/>
    <mergeCell ref="A20:A21"/>
    <mergeCell ref="B20:B21"/>
    <mergeCell ref="C20:C21"/>
    <mergeCell ref="D20:D21"/>
    <mergeCell ref="E20:E21"/>
    <mergeCell ref="G22:G23"/>
    <mergeCell ref="A24:A25"/>
    <mergeCell ref="B24:B25"/>
    <mergeCell ref="C24:C25"/>
    <mergeCell ref="D24:D25"/>
    <mergeCell ref="E24:E25"/>
    <mergeCell ref="F24:F25"/>
    <mergeCell ref="G24:G25"/>
    <mergeCell ref="A22:A23"/>
    <mergeCell ref="B22:B23"/>
    <mergeCell ref="C22:C23"/>
    <mergeCell ref="D22:D23"/>
    <mergeCell ref="E22:E23"/>
    <mergeCell ref="F22:F23"/>
    <mergeCell ref="A30:B30"/>
    <mergeCell ref="C30:E30"/>
    <mergeCell ref="F30:G30"/>
    <mergeCell ref="C32:E32"/>
    <mergeCell ref="F32:G32"/>
    <mergeCell ref="A31:B3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view="pageBreakPreview" topLeftCell="A28" zoomScale="110" zoomScaleNormal="100" zoomScaleSheetLayoutView="110" workbookViewId="0">
      <selection activeCell="I43" sqref="I43"/>
    </sheetView>
  </sheetViews>
  <sheetFormatPr baseColWidth="10" defaultRowHeight="15"/>
  <cols>
    <col min="1" max="1" width="16.85546875" style="183" customWidth="1"/>
    <col min="2" max="2" width="11.42578125" style="183" customWidth="1"/>
    <col min="3" max="3" width="11.42578125" style="183"/>
    <col min="4" max="4" width="8.140625" style="183" customWidth="1"/>
    <col min="5" max="5" width="24.85546875" style="183" customWidth="1"/>
    <col min="6" max="6" width="13.7109375" style="183" customWidth="1"/>
    <col min="7" max="7" width="14" style="183" customWidth="1"/>
    <col min="8" max="8" width="7.5703125" style="183" customWidth="1"/>
    <col min="9" max="16384" width="11.42578125" style="183"/>
  </cols>
  <sheetData>
    <row r="1" spans="1:7" ht="9" customHeight="1"/>
    <row r="2" spans="1:7" ht="9" customHeight="1"/>
    <row r="3" spans="1:7" ht="9" customHeight="1">
      <c r="G3" s="318"/>
    </row>
    <row r="4" spans="1:7" ht="9" customHeight="1">
      <c r="A4" s="894" t="s">
        <v>312</v>
      </c>
      <c r="B4" s="894"/>
      <c r="C4" s="894"/>
      <c r="D4" s="894"/>
      <c r="E4" s="894"/>
      <c r="F4" s="894"/>
      <c r="G4" s="894"/>
    </row>
    <row r="5" spans="1:7" ht="9" customHeight="1">
      <c r="A5" s="894"/>
      <c r="B5" s="894"/>
      <c r="C5" s="894"/>
      <c r="D5" s="894"/>
      <c r="E5" s="894"/>
      <c r="F5" s="894"/>
      <c r="G5" s="894"/>
    </row>
    <row r="6" spans="1:7" ht="2.4500000000000002" customHeight="1">
      <c r="A6" s="213"/>
      <c r="B6" s="213"/>
      <c r="C6" s="213"/>
      <c r="D6" s="213"/>
      <c r="E6" s="213"/>
      <c r="F6" s="213"/>
      <c r="G6" s="213"/>
    </row>
    <row r="7" spans="1:7" ht="17.100000000000001" customHeight="1">
      <c r="A7" s="895" t="s">
        <v>14</v>
      </c>
      <c r="B7" s="896" t="str">
        <f>'RESUMEN MARSHALL'!B6</f>
        <v>SAN LUIS DEL CORDERO - SAN PEDRO DEL GALLO</v>
      </c>
      <c r="C7" s="897"/>
      <c r="D7" s="897"/>
      <c r="E7" s="898"/>
      <c r="F7" s="361" t="str">
        <f>'RESUMEN MARSHALL'!F6:G6</f>
        <v>ENSAYOS</v>
      </c>
      <c r="G7" s="362" t="str">
        <f>'RESUMEN MARSHALL'!G6</f>
        <v>638-655</v>
      </c>
    </row>
    <row r="8" spans="1:7" ht="17.100000000000001" customHeight="1">
      <c r="A8" s="895"/>
      <c r="B8" s="899"/>
      <c r="C8" s="900"/>
      <c r="D8" s="900"/>
      <c r="E8" s="901"/>
      <c r="F8" s="214" t="s">
        <v>313</v>
      </c>
      <c r="G8" s="215">
        <f>'RESUMEN MARSHALL'!G7</f>
        <v>42341</v>
      </c>
    </row>
    <row r="9" spans="1:7" ht="17.100000000000001" customHeight="1">
      <c r="A9" s="895"/>
      <c r="B9" s="899"/>
      <c r="C9" s="900"/>
      <c r="D9" s="900"/>
      <c r="E9" s="901"/>
      <c r="F9" s="214" t="s">
        <v>314</v>
      </c>
      <c r="G9" s="216">
        <f>'RESUMEN MARSHALL'!G8</f>
        <v>42345</v>
      </c>
    </row>
    <row r="10" spans="1:7" ht="17.100000000000001" customHeight="1">
      <c r="A10" s="895"/>
      <c r="B10" s="902"/>
      <c r="C10" s="903"/>
      <c r="D10" s="903"/>
      <c r="E10" s="904"/>
      <c r="F10" s="217"/>
      <c r="G10" s="218"/>
    </row>
    <row r="11" spans="1:7">
      <c r="A11" s="219" t="s">
        <v>315</v>
      </c>
      <c r="B11" s="220"/>
      <c r="C11" s="905" t="str">
        <f>'CALCULO SELLO CALIZO'!C5:F5</f>
        <v>MICROCARPETA T.M. 13 MM EN CALIENTE</v>
      </c>
      <c r="D11" s="905"/>
      <c r="E11" s="905"/>
      <c r="F11" s="905"/>
      <c r="G11" s="906"/>
    </row>
    <row r="12" spans="1:7">
      <c r="A12" s="221" t="s">
        <v>316</v>
      </c>
      <c r="B12" s="222"/>
      <c r="C12" s="907" t="str">
        <f>'INFORME PETREO FISICO'!P18</f>
        <v>PLANTA CRIBISA EN LERDO, DGO.</v>
      </c>
      <c r="D12" s="907"/>
      <c r="E12" s="907"/>
      <c r="F12" s="907"/>
      <c r="G12" s="908"/>
    </row>
    <row r="13" spans="1:7">
      <c r="A13" s="223" t="s">
        <v>317</v>
      </c>
      <c r="B13" s="220"/>
      <c r="C13" s="220"/>
      <c r="D13" s="224" t="s">
        <v>318</v>
      </c>
      <c r="E13" s="225" t="s">
        <v>319</v>
      </c>
      <c r="F13" s="224"/>
      <c r="G13" s="218"/>
    </row>
    <row r="14" spans="1:7" ht="3.75" customHeight="1">
      <c r="A14" s="226"/>
      <c r="B14" s="222"/>
      <c r="C14" s="222"/>
      <c r="D14" s="222"/>
      <c r="E14" s="222"/>
      <c r="F14" s="222"/>
      <c r="G14" s="227"/>
    </row>
    <row r="15" spans="1:7">
      <c r="A15" s="226"/>
      <c r="B15" s="222"/>
      <c r="C15" s="222"/>
      <c r="D15" s="222"/>
      <c r="E15" s="222"/>
      <c r="F15" s="222"/>
      <c r="G15" s="227"/>
    </row>
    <row r="16" spans="1:7">
      <c r="A16" s="226"/>
      <c r="B16" s="222"/>
      <c r="C16" s="222"/>
      <c r="D16" s="222"/>
      <c r="E16" s="222"/>
      <c r="F16" s="222"/>
      <c r="G16" s="227"/>
    </row>
    <row r="17" spans="1:7">
      <c r="A17" s="226"/>
      <c r="B17" s="222"/>
      <c r="C17" s="222"/>
      <c r="D17" s="222"/>
      <c r="E17" s="222"/>
      <c r="F17" s="222"/>
      <c r="G17" s="227"/>
    </row>
    <row r="18" spans="1:7">
      <c r="A18" s="226"/>
      <c r="B18" s="222"/>
      <c r="C18" s="222"/>
      <c r="D18" s="222"/>
      <c r="E18" s="222"/>
      <c r="F18" s="222"/>
      <c r="G18" s="227"/>
    </row>
    <row r="19" spans="1:7">
      <c r="A19" s="226"/>
      <c r="B19" s="222"/>
      <c r="C19" s="222"/>
      <c r="D19" s="222"/>
      <c r="E19" s="222"/>
      <c r="F19" s="222"/>
      <c r="G19" s="227"/>
    </row>
    <row r="20" spans="1:7">
      <c r="A20" s="226"/>
      <c r="B20" s="222"/>
      <c r="C20" s="222"/>
      <c r="D20" s="222"/>
      <c r="E20" s="222"/>
      <c r="F20" s="222"/>
      <c r="G20" s="227"/>
    </row>
    <row r="21" spans="1:7">
      <c r="A21" s="226"/>
      <c r="B21" s="222"/>
      <c r="C21" s="222"/>
      <c r="D21" s="222"/>
      <c r="E21" s="222"/>
      <c r="F21" s="222"/>
      <c r="G21" s="227"/>
    </row>
    <row r="22" spans="1:7">
      <c r="A22" s="226"/>
      <c r="B22" s="222"/>
      <c r="C22" s="222"/>
      <c r="D22" s="222"/>
      <c r="E22" s="222"/>
      <c r="F22" s="222"/>
      <c r="G22" s="227"/>
    </row>
    <row r="23" spans="1:7">
      <c r="A23" s="226"/>
      <c r="B23" s="222"/>
      <c r="C23" s="222"/>
      <c r="D23" s="222"/>
      <c r="E23" s="222"/>
      <c r="F23" s="222"/>
      <c r="G23" s="227"/>
    </row>
    <row r="24" spans="1:7" ht="9" customHeight="1">
      <c r="A24" s="226"/>
      <c r="B24" s="222"/>
      <c r="C24" s="222"/>
      <c r="D24" s="222"/>
      <c r="E24" s="222"/>
      <c r="F24" s="222"/>
      <c r="G24" s="227"/>
    </row>
    <row r="25" spans="1:7" ht="9" customHeight="1">
      <c r="A25" s="226"/>
      <c r="B25" s="222"/>
      <c r="C25" s="222"/>
      <c r="D25" s="222"/>
      <c r="E25" s="222"/>
      <c r="F25" s="222"/>
      <c r="G25" s="227"/>
    </row>
    <row r="26" spans="1:7" ht="9" customHeight="1">
      <c r="A26" s="226"/>
      <c r="B26" s="222"/>
      <c r="C26" s="222"/>
      <c r="D26" s="222"/>
      <c r="E26" s="222"/>
      <c r="F26" s="222"/>
      <c r="G26" s="227"/>
    </row>
    <row r="27" spans="1:7" ht="9" customHeight="1">
      <c r="A27" s="226"/>
      <c r="B27" s="222"/>
      <c r="C27" s="222"/>
      <c r="D27" s="222"/>
      <c r="E27" s="222"/>
      <c r="F27" s="222"/>
      <c r="G27" s="227"/>
    </row>
    <row r="28" spans="1:7" ht="9" customHeight="1">
      <c r="A28" s="226"/>
      <c r="B28" s="222"/>
      <c r="C28" s="222"/>
      <c r="D28" s="222"/>
      <c r="E28" s="222"/>
      <c r="F28" s="222"/>
      <c r="G28" s="227"/>
    </row>
    <row r="29" spans="1:7" ht="9" customHeight="1">
      <c r="A29" s="226"/>
      <c r="B29" s="222"/>
      <c r="C29" s="222"/>
      <c r="D29" s="222"/>
      <c r="E29" s="222"/>
      <c r="F29" s="222"/>
      <c r="G29" s="227"/>
    </row>
    <row r="30" spans="1:7" ht="9" customHeight="1">
      <c r="A30" s="226"/>
      <c r="B30" s="222"/>
      <c r="C30" s="222"/>
      <c r="D30" s="222"/>
      <c r="E30" s="222"/>
      <c r="F30" s="222"/>
      <c r="G30" s="227"/>
    </row>
    <row r="31" spans="1:7">
      <c r="A31" s="226"/>
      <c r="B31" s="222"/>
      <c r="C31" s="222"/>
      <c r="D31" s="222"/>
      <c r="E31" s="222"/>
      <c r="F31" s="222"/>
      <c r="G31" s="227"/>
    </row>
    <row r="32" spans="1:7">
      <c r="A32" s="226"/>
      <c r="B32" s="222"/>
      <c r="C32" s="222"/>
      <c r="D32" s="222"/>
      <c r="E32" s="222"/>
      <c r="F32" s="222"/>
      <c r="G32" s="227"/>
    </row>
    <row r="33" spans="1:7">
      <c r="A33" s="226"/>
      <c r="B33" s="222"/>
      <c r="C33" s="222"/>
      <c r="D33" s="222"/>
      <c r="E33" s="222"/>
      <c r="F33" s="222"/>
      <c r="G33" s="227"/>
    </row>
    <row r="34" spans="1:7">
      <c r="A34" s="226"/>
      <c r="B34" s="222"/>
      <c r="C34" s="222"/>
      <c r="D34" s="222"/>
      <c r="E34" s="222"/>
      <c r="F34" s="222"/>
      <c r="G34" s="227"/>
    </row>
    <row r="35" spans="1:7">
      <c r="A35" s="226"/>
      <c r="B35" s="222"/>
      <c r="C35" s="222"/>
      <c r="D35" s="222"/>
      <c r="E35" s="222"/>
      <c r="F35" s="222"/>
      <c r="G35" s="227"/>
    </row>
    <row r="36" spans="1:7">
      <c r="A36" s="226"/>
      <c r="B36" s="222"/>
      <c r="C36" s="222"/>
      <c r="D36" s="222"/>
      <c r="E36" s="222"/>
      <c r="F36" s="222"/>
      <c r="G36" s="227"/>
    </row>
    <row r="37" spans="1:7">
      <c r="A37" s="226"/>
      <c r="B37" s="222"/>
      <c r="C37" s="222"/>
      <c r="D37" s="222"/>
      <c r="E37" s="222"/>
      <c r="F37" s="222"/>
      <c r="G37" s="227"/>
    </row>
    <row r="38" spans="1:7">
      <c r="A38" s="226"/>
      <c r="B38" s="222"/>
      <c r="C38" s="222"/>
      <c r="D38" s="222"/>
      <c r="E38" s="222"/>
      <c r="F38" s="222"/>
      <c r="G38" s="227"/>
    </row>
    <row r="39" spans="1:7">
      <c r="A39" s="226"/>
      <c r="B39" s="222"/>
      <c r="C39" s="222"/>
      <c r="D39" s="222"/>
      <c r="E39" s="222"/>
      <c r="F39" s="222"/>
      <c r="G39" s="227"/>
    </row>
    <row r="40" spans="1:7" ht="11.25" customHeight="1">
      <c r="A40" s="226"/>
      <c r="B40" s="222"/>
      <c r="C40" s="222"/>
      <c r="D40" s="222"/>
      <c r="E40" s="222"/>
      <c r="F40" s="222"/>
      <c r="G40" s="227"/>
    </row>
    <row r="41" spans="1:7">
      <c r="A41" s="226"/>
      <c r="B41" s="222"/>
      <c r="C41" s="222"/>
      <c r="D41" s="222"/>
      <c r="E41" s="909" t="s">
        <v>320</v>
      </c>
      <c r="F41" s="909" t="s">
        <v>321</v>
      </c>
      <c r="G41" s="911" t="s">
        <v>348</v>
      </c>
    </row>
    <row r="42" spans="1:7" ht="6.75" customHeight="1">
      <c r="A42" s="226"/>
      <c r="B42" s="222"/>
      <c r="C42" s="222"/>
      <c r="D42" s="222"/>
      <c r="E42" s="910"/>
      <c r="F42" s="910"/>
      <c r="G42" s="912"/>
    </row>
    <row r="43" spans="1:7" ht="13.5" customHeight="1">
      <c r="A43" s="226"/>
      <c r="B43" s="222"/>
      <c r="C43" s="222"/>
      <c r="D43" s="222"/>
      <c r="E43" s="228" t="s">
        <v>322</v>
      </c>
      <c r="F43" s="229">
        <f>'CALCULO MARSHALL'!C22</f>
        <v>4.8</v>
      </c>
      <c r="G43" s="185"/>
    </row>
    <row r="44" spans="1:7" ht="14.25" customHeight="1">
      <c r="A44" s="226"/>
      <c r="B44" s="222"/>
      <c r="C44" s="222"/>
      <c r="D44" s="222"/>
      <c r="E44" s="228" t="s">
        <v>323</v>
      </c>
      <c r="F44" s="230">
        <f>'CALCULO MARSHALL'!M25</f>
        <v>2375.1630605429386</v>
      </c>
      <c r="G44" s="185"/>
    </row>
    <row r="45" spans="1:7">
      <c r="A45" s="226"/>
      <c r="B45" s="222"/>
      <c r="C45" s="222"/>
      <c r="D45" s="222"/>
      <c r="E45" s="228" t="s">
        <v>324</v>
      </c>
      <c r="F45" s="994">
        <f>'CALCULO MARSHALL'!Q25</f>
        <v>3.4929658216538022</v>
      </c>
      <c r="G45" s="185" t="s">
        <v>325</v>
      </c>
    </row>
    <row r="46" spans="1:7">
      <c r="A46" s="226"/>
      <c r="B46" s="222"/>
      <c r="C46" s="222"/>
      <c r="D46" s="222"/>
      <c r="E46" s="228" t="s">
        <v>326</v>
      </c>
      <c r="F46" s="229">
        <f>'CALCULO MARSHALL'!R25</f>
        <v>14.05472255718899</v>
      </c>
      <c r="G46" s="185" t="s">
        <v>327</v>
      </c>
    </row>
    <row r="47" spans="1:7">
      <c r="A47" s="226"/>
      <c r="B47" s="222"/>
      <c r="C47" s="222"/>
      <c r="D47" s="222"/>
      <c r="E47" s="228" t="s">
        <v>328</v>
      </c>
      <c r="F47" s="230">
        <f>'CALCULO MARSHALL'!S25</f>
        <v>75.160505863608535</v>
      </c>
      <c r="G47" s="185" t="s">
        <v>329</v>
      </c>
    </row>
    <row r="48" spans="1:7">
      <c r="A48" s="226"/>
      <c r="B48" s="222"/>
      <c r="C48" s="222"/>
      <c r="D48" s="222"/>
      <c r="E48" s="228" t="s">
        <v>330</v>
      </c>
      <c r="F48" s="229">
        <f>'CALCULO MARSHALL'!AB25</f>
        <v>3.5559999999999996</v>
      </c>
      <c r="G48" s="185" t="s">
        <v>474</v>
      </c>
    </row>
    <row r="49" spans="1:7">
      <c r="A49" s="226"/>
      <c r="B49" s="222"/>
      <c r="C49" s="222"/>
      <c r="D49" s="222"/>
      <c r="E49" s="231" t="s">
        <v>331</v>
      </c>
      <c r="F49" s="232">
        <f>'CALCULO MARSHALL'!X25</f>
        <v>1678.7703333333332</v>
      </c>
      <c r="G49" s="233" t="s">
        <v>332</v>
      </c>
    </row>
    <row r="50" spans="1:7" ht="32.25" customHeight="1">
      <c r="A50" s="226"/>
      <c r="B50" s="222"/>
      <c r="C50" s="222"/>
      <c r="D50" s="222"/>
      <c r="E50" s="231" t="s">
        <v>333</v>
      </c>
      <c r="F50" s="234"/>
      <c r="G50" s="233" t="s">
        <v>334</v>
      </c>
    </row>
    <row r="51" spans="1:7" ht="27.75" customHeight="1">
      <c r="A51" s="226"/>
      <c r="B51" s="222"/>
      <c r="C51" s="222"/>
      <c r="D51" s="222"/>
      <c r="E51" s="913" t="s">
        <v>335</v>
      </c>
      <c r="F51" s="914"/>
      <c r="G51" s="915"/>
    </row>
    <row r="52" spans="1:7" ht="4.5" customHeight="1">
      <c r="A52" s="226"/>
      <c r="B52" s="222"/>
      <c r="C52" s="222"/>
      <c r="D52" s="222"/>
      <c r="E52" s="916"/>
      <c r="F52" s="917"/>
      <c r="G52" s="918"/>
    </row>
    <row r="53" spans="1:7" ht="4.5" customHeight="1">
      <c r="A53" s="226"/>
      <c r="B53" s="222"/>
      <c r="C53" s="222"/>
      <c r="D53" s="222"/>
    </row>
    <row r="54" spans="1:7" ht="9.75" hidden="1" customHeight="1">
      <c r="A54" s="226"/>
      <c r="B54" s="222"/>
      <c r="C54" s="222"/>
      <c r="D54" s="222"/>
    </row>
    <row r="55" spans="1:7" ht="4.5" hidden="1" customHeight="1">
      <c r="A55" s="226"/>
      <c r="B55" s="222"/>
      <c r="C55" s="222"/>
      <c r="D55" s="222"/>
    </row>
    <row r="56" spans="1:7" ht="3" customHeight="1">
      <c r="A56" s="226"/>
      <c r="B56" s="222"/>
      <c r="C56" s="222"/>
      <c r="D56" s="222"/>
      <c r="E56" s="222"/>
      <c r="F56" s="222"/>
      <c r="G56" s="227"/>
    </row>
    <row r="57" spans="1:7" ht="3" customHeight="1">
      <c r="A57" s="235"/>
      <c r="B57" s="220"/>
      <c r="C57" s="220"/>
      <c r="D57" s="220"/>
      <c r="E57" s="220"/>
      <c r="F57" s="220"/>
      <c r="G57" s="218"/>
    </row>
    <row r="58" spans="1:7">
      <c r="A58" s="919" t="s">
        <v>336</v>
      </c>
      <c r="B58" s="920"/>
      <c r="C58" s="236"/>
      <c r="D58" s="236"/>
      <c r="E58" s="237"/>
      <c r="F58" s="238"/>
      <c r="G58" s="239"/>
    </row>
    <row r="59" spans="1:7">
      <c r="A59" s="888" t="s">
        <v>337</v>
      </c>
      <c r="B59" s="889"/>
      <c r="C59" s="889"/>
      <c r="D59" s="889"/>
      <c r="E59" s="889"/>
      <c r="F59" s="889"/>
      <c r="G59" s="890"/>
    </row>
    <row r="60" spans="1:7">
      <c r="A60" s="888"/>
      <c r="B60" s="889"/>
      <c r="C60" s="889"/>
      <c r="D60" s="889"/>
      <c r="E60" s="889"/>
      <c r="F60" s="889"/>
      <c r="G60" s="890"/>
    </row>
    <row r="61" spans="1:7" ht="2.25" customHeight="1">
      <c r="A61" s="891"/>
      <c r="B61" s="892"/>
      <c r="C61" s="892"/>
      <c r="D61" s="892"/>
      <c r="E61" s="892"/>
      <c r="F61" s="892"/>
      <c r="G61" s="893"/>
    </row>
    <row r="62" spans="1:7" ht="3.6" customHeight="1">
      <c r="A62" s="226"/>
      <c r="B62" s="222"/>
      <c r="C62" s="222"/>
      <c r="D62" s="222"/>
      <c r="E62" s="222"/>
      <c r="F62" s="222"/>
      <c r="G62" s="227"/>
    </row>
    <row r="63" spans="1:7">
      <c r="A63" s="880" t="s">
        <v>165</v>
      </c>
      <c r="B63" s="881"/>
      <c r="C63" s="880" t="s">
        <v>12</v>
      </c>
      <c r="D63" s="882"/>
      <c r="E63" s="881"/>
      <c r="F63" s="880" t="s">
        <v>450</v>
      </c>
      <c r="G63" s="881"/>
    </row>
    <row r="64" spans="1:7" ht="26.45" customHeight="1">
      <c r="A64" s="226"/>
      <c r="B64" s="227"/>
      <c r="C64" s="226"/>
      <c r="D64" s="222"/>
      <c r="E64" s="227"/>
      <c r="F64" s="226"/>
      <c r="G64" s="227"/>
    </row>
    <row r="65" spans="1:7">
      <c r="A65" s="883" t="str">
        <f>'INFORME ASFALTO'!A38</f>
        <v>C. JULIO CESAR GARCIA RODRIGUEZ</v>
      </c>
      <c r="B65" s="884"/>
      <c r="C65" s="885" t="str">
        <f>'INFORME ASFALTO'!E38</f>
        <v>ING. JOSE LUIS TAMAYO AMAYA</v>
      </c>
      <c r="D65" s="886"/>
      <c r="E65" s="887"/>
      <c r="F65" s="885" t="str">
        <f>'INFORME ASFALTO'!J38</f>
        <v>ARQ. CARLOS G. TAMAYO AMAYA</v>
      </c>
      <c r="G65" s="887"/>
    </row>
    <row r="66" spans="1:7" ht="2.4500000000000002" customHeight="1"/>
    <row r="67" spans="1:7" ht="9.6" customHeight="1">
      <c r="A67" s="236"/>
      <c r="B67" s="236"/>
      <c r="C67" s="236"/>
      <c r="D67" s="236"/>
      <c r="E67" s="236"/>
      <c r="F67" s="879" t="s">
        <v>338</v>
      </c>
      <c r="G67" s="879"/>
    </row>
  </sheetData>
  <mergeCells count="18">
    <mergeCell ref="A59:G61"/>
    <mergeCell ref="A4:G5"/>
    <mergeCell ref="A7:A10"/>
    <mergeCell ref="B7:E10"/>
    <mergeCell ref="C11:G11"/>
    <mergeCell ref="C12:G12"/>
    <mergeCell ref="E41:E42"/>
    <mergeCell ref="F41:F42"/>
    <mergeCell ref="G41:G42"/>
    <mergeCell ref="E51:G52"/>
    <mergeCell ref="A58:B58"/>
    <mergeCell ref="F67:G67"/>
    <mergeCell ref="A63:B63"/>
    <mergeCell ref="C63:E63"/>
    <mergeCell ref="F63:G63"/>
    <mergeCell ref="A65:B65"/>
    <mergeCell ref="C65:E65"/>
    <mergeCell ref="F65:G65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1"/>
  <sheetViews>
    <sheetView view="pageBreakPreview" topLeftCell="A31" zoomScale="55" zoomScaleSheetLayoutView="55" workbookViewId="0">
      <selection activeCell="AD55" sqref="AD55:AF55"/>
    </sheetView>
  </sheetViews>
  <sheetFormatPr baseColWidth="10" defaultRowHeight="12.75"/>
  <cols>
    <col min="1" max="1" width="0.85546875" customWidth="1"/>
    <col min="2" max="2" width="10" customWidth="1"/>
    <col min="3" max="3" width="0.7109375" customWidth="1"/>
    <col min="4" max="4" width="4.28515625" customWidth="1"/>
    <col min="5" max="5" width="7.42578125" customWidth="1"/>
    <col min="6" max="6" width="18.5703125" customWidth="1"/>
    <col min="7" max="7" width="16.42578125" customWidth="1"/>
    <col min="8" max="8" width="4.28515625" customWidth="1"/>
    <col min="9" max="9" width="4.7109375" customWidth="1"/>
    <col min="10" max="10" width="5.5703125" customWidth="1"/>
    <col min="11" max="11" width="2.28515625" customWidth="1"/>
    <col min="12" max="12" width="5.140625" customWidth="1"/>
    <col min="13" max="13" width="1.28515625" customWidth="1"/>
    <col min="14" max="14" width="4.28515625" customWidth="1"/>
    <col min="15" max="15" width="2.7109375" customWidth="1"/>
    <col min="16" max="16" width="6.5703125" customWidth="1"/>
    <col min="17" max="17" width="9.42578125" customWidth="1"/>
    <col min="18" max="18" width="10.5703125" customWidth="1"/>
    <col min="19" max="19" width="3.140625" customWidth="1"/>
    <col min="20" max="20" width="8" customWidth="1"/>
    <col min="21" max="21" width="10.42578125" customWidth="1"/>
    <col min="22" max="22" width="3" customWidth="1"/>
    <col min="23" max="23" width="6" customWidth="1"/>
    <col min="24" max="24" width="0.140625" customWidth="1"/>
    <col min="25" max="25" width="5" customWidth="1"/>
    <col min="26" max="26" width="4.5703125" customWidth="1"/>
    <col min="27" max="27" width="3.7109375" customWidth="1"/>
    <col min="28" max="28" width="9.42578125" customWidth="1"/>
    <col min="29" max="29" width="5" customWidth="1"/>
    <col min="30" max="30" width="5.140625" customWidth="1"/>
    <col min="31" max="31" width="8.140625" customWidth="1"/>
    <col min="32" max="32" width="3.5703125" customWidth="1"/>
    <col min="33" max="33" width="1" customWidth="1"/>
  </cols>
  <sheetData>
    <row r="1" spans="1:38" ht="22.15" customHeight="1"/>
    <row r="2" spans="1:38" ht="23.25" customHeight="1"/>
    <row r="3" spans="1:38" ht="22.15" customHeight="1"/>
    <row r="4" spans="1:38" ht="16.5" customHeight="1">
      <c r="X4" s="547"/>
      <c r="Y4" s="547"/>
      <c r="Z4" s="547"/>
      <c r="AA4" s="547"/>
      <c r="AB4" s="547"/>
      <c r="AC4" s="547"/>
      <c r="AD4" s="547"/>
      <c r="AE4" s="547"/>
      <c r="AF4" s="547"/>
      <c r="AG4" s="59"/>
    </row>
    <row r="5" spans="1:38" ht="20.25" customHeight="1">
      <c r="X5" s="547"/>
      <c r="Y5" s="547"/>
      <c r="Z5" s="547"/>
      <c r="AA5" s="547"/>
      <c r="AB5" s="547"/>
      <c r="AC5" s="547"/>
      <c r="AD5" s="547"/>
      <c r="AE5" s="547"/>
      <c r="AF5" s="547"/>
      <c r="AG5" s="59"/>
    </row>
    <row r="6" spans="1:38" ht="22.15" customHeight="1">
      <c r="B6" s="549" t="s">
        <v>362</v>
      </c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  <c r="AF6" s="549"/>
    </row>
    <row r="7" spans="1:38" ht="23.25" customHeight="1">
      <c r="A7" s="1"/>
      <c r="B7" s="922" t="s">
        <v>363</v>
      </c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  <c r="N7" s="922"/>
      <c r="O7" s="922"/>
      <c r="P7" s="922"/>
      <c r="Q7" s="922"/>
      <c r="R7" s="922"/>
      <c r="S7" s="922"/>
      <c r="T7" s="922"/>
      <c r="U7" s="922"/>
      <c r="V7" s="922"/>
      <c r="W7" s="922"/>
      <c r="X7" s="922"/>
      <c r="Y7" s="922"/>
      <c r="Z7" s="922"/>
      <c r="AA7" s="922"/>
      <c r="AB7" s="922"/>
      <c r="AC7" s="922"/>
      <c r="AD7" s="922"/>
      <c r="AE7" s="922"/>
      <c r="AF7" s="922"/>
      <c r="AG7" s="1"/>
    </row>
    <row r="8" spans="1:38" ht="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8" ht="20.100000000000001" customHeight="1">
      <c r="A9" s="1"/>
      <c r="B9" s="493" t="s">
        <v>14</v>
      </c>
      <c r="C9" s="493"/>
      <c r="D9" s="493"/>
      <c r="E9" s="493"/>
      <c r="F9" s="493" t="str">
        <f>'INFORME MARSHALL'!B7</f>
        <v>SAN LUIS DEL CORDERO - SAN PEDRO DEL GALLO</v>
      </c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4"/>
      <c r="AG9" s="1"/>
    </row>
    <row r="10" spans="1:38" ht="20.100000000000001" customHeight="1">
      <c r="A10" s="1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5" t="s">
        <v>0</v>
      </c>
      <c r="U10" s="5"/>
      <c r="V10" s="488">
        <f>'CALCULO MARSHALL'!AB4+1</f>
        <v>656</v>
      </c>
      <c r="W10" s="488"/>
      <c r="X10" s="488"/>
      <c r="Y10" s="488"/>
      <c r="Z10" s="488"/>
      <c r="AA10" s="488"/>
      <c r="AB10" s="488"/>
      <c r="AC10" s="488"/>
      <c r="AD10" s="488"/>
      <c r="AE10" s="488"/>
      <c r="AF10" s="6"/>
      <c r="AG10" s="1"/>
    </row>
    <row r="11" spans="1:38" ht="20.100000000000001" customHeight="1">
      <c r="A11" s="1"/>
      <c r="B11" s="493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5" t="s">
        <v>1</v>
      </c>
      <c r="U11" s="5"/>
      <c r="V11" s="5"/>
      <c r="W11" s="7"/>
      <c r="X11" s="33" t="e">
        <f>#REF!</f>
        <v>#REF!</v>
      </c>
      <c r="Y11" s="491">
        <f>'INFORME MARSHALL'!G8</f>
        <v>42341</v>
      </c>
      <c r="Z11" s="491"/>
      <c r="AA11" s="491"/>
      <c r="AB11" s="491"/>
      <c r="AC11" s="491"/>
      <c r="AD11" s="491"/>
      <c r="AE11" s="491"/>
      <c r="AF11" s="6"/>
      <c r="AG11" s="1"/>
      <c r="AH11" s="1"/>
      <c r="AI11" s="1"/>
      <c r="AJ11" s="1"/>
      <c r="AK11" s="1"/>
      <c r="AL11" s="1"/>
    </row>
    <row r="12" spans="1:38" ht="20.100000000000001" customHeight="1">
      <c r="A12" s="1"/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5" t="s">
        <v>2</v>
      </c>
      <c r="U12" s="5"/>
      <c r="V12" s="5"/>
      <c r="W12" s="489">
        <f>'INFORME MARSHALL'!G9</f>
        <v>42345</v>
      </c>
      <c r="X12" s="490"/>
      <c r="Y12" s="490"/>
      <c r="Z12" s="490"/>
      <c r="AA12" s="490"/>
      <c r="AB12" s="490"/>
      <c r="AC12" s="490"/>
      <c r="AD12" s="490"/>
      <c r="AE12" s="490"/>
      <c r="AF12" s="6"/>
      <c r="AG12" s="1"/>
      <c r="AH12" s="1"/>
      <c r="AI12" s="1"/>
      <c r="AJ12" s="1"/>
      <c r="AK12" s="1"/>
      <c r="AL12" s="1"/>
    </row>
    <row r="13" spans="1:38" ht="20.100000000000001" customHeight="1">
      <c r="A13" s="1"/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5"/>
      <c r="U13" s="5"/>
      <c r="V13" s="5"/>
      <c r="W13" s="293"/>
      <c r="X13" s="294"/>
      <c r="Y13" s="294"/>
      <c r="Z13" s="294"/>
      <c r="AA13" s="294"/>
      <c r="AB13" s="294"/>
      <c r="AC13" s="294"/>
      <c r="AD13" s="294"/>
      <c r="AE13" s="294"/>
      <c r="AF13" s="6"/>
      <c r="AG13" s="1"/>
      <c r="AH13" s="1"/>
      <c r="AI13" s="1"/>
      <c r="AJ13" s="1"/>
      <c r="AK13" s="1"/>
      <c r="AL13" s="1"/>
    </row>
    <row r="14" spans="1:38" ht="20.100000000000001" customHeight="1">
      <c r="A14" s="1"/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1"/>
      <c r="AH14" s="1"/>
      <c r="AI14" s="1"/>
      <c r="AJ14" s="1"/>
      <c r="AK14" s="1"/>
      <c r="AL14" s="1"/>
    </row>
    <row r="15" spans="1:38" ht="7.9" customHeight="1">
      <c r="A15" s="1"/>
      <c r="B15" s="29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G15" s="1"/>
      <c r="AH15" s="1"/>
      <c r="AI15" s="1"/>
      <c r="AJ15" s="1"/>
      <c r="AK15" s="1"/>
      <c r="AL15" s="1"/>
    </row>
    <row r="16" spans="1:38" ht="8.4499999999999993" customHeight="1">
      <c r="A16" s="1"/>
      <c r="B16" s="29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/>
      <c r="AG16" s="1"/>
      <c r="AH16" s="1"/>
      <c r="AI16" s="1"/>
      <c r="AJ16" s="1"/>
      <c r="AK16" s="1"/>
      <c r="AL16" s="1"/>
    </row>
    <row r="17" spans="1:38" ht="28.9" customHeight="1">
      <c r="A17" s="1"/>
      <c r="B17" s="926" t="s">
        <v>3</v>
      </c>
      <c r="C17" s="927"/>
      <c r="D17" s="928"/>
      <c r="E17" s="297"/>
      <c r="F17" s="5" t="s">
        <v>4</v>
      </c>
      <c r="G17" s="5"/>
      <c r="H17" s="921" t="s">
        <v>364</v>
      </c>
      <c r="I17" s="921"/>
      <c r="J17" s="921"/>
      <c r="K17" s="921"/>
      <c r="L17" s="921"/>
      <c r="M17" s="921"/>
      <c r="N17" s="921"/>
      <c r="O17" s="921" t="s">
        <v>465</v>
      </c>
      <c r="P17" s="921"/>
      <c r="Q17" s="921"/>
      <c r="R17" s="921"/>
      <c r="S17" s="921"/>
      <c r="T17" s="921"/>
      <c r="U17" s="921"/>
      <c r="V17" s="921"/>
      <c r="W17" s="921"/>
      <c r="X17" s="5"/>
      <c r="Y17" s="5" t="s">
        <v>5</v>
      </c>
      <c r="Z17" s="5"/>
      <c r="AA17" s="5"/>
      <c r="AB17" s="5"/>
      <c r="AC17" s="495" t="s">
        <v>365</v>
      </c>
      <c r="AD17" s="495"/>
      <c r="AE17" s="495"/>
      <c r="AF17" s="6"/>
      <c r="AG17" s="1"/>
      <c r="AH17" s="1"/>
      <c r="AI17" s="1"/>
      <c r="AJ17" s="1"/>
      <c r="AK17" s="1"/>
      <c r="AL17" s="1"/>
    </row>
    <row r="18" spans="1:38" ht="28.9" customHeight="1">
      <c r="A18" s="1"/>
      <c r="B18" s="926"/>
      <c r="C18" s="927"/>
      <c r="D18" s="928"/>
      <c r="E18" s="297"/>
      <c r="F18" s="5" t="s">
        <v>6</v>
      </c>
      <c r="G18" s="5"/>
      <c r="H18" s="5"/>
      <c r="I18" s="5"/>
      <c r="J18" s="5"/>
      <c r="K18" s="495" t="s">
        <v>425</v>
      </c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  <c r="W18" s="495"/>
      <c r="X18" s="495"/>
      <c r="Y18" s="495"/>
      <c r="Z18" s="495"/>
      <c r="AA18" s="495"/>
      <c r="AB18" s="495"/>
      <c r="AC18" s="495"/>
      <c r="AD18" s="495"/>
      <c r="AE18" s="495"/>
      <c r="AF18" s="6"/>
      <c r="AG18" s="1"/>
      <c r="AH18" s="1"/>
      <c r="AI18" s="1"/>
      <c r="AJ18" s="1"/>
      <c r="AK18" s="1"/>
      <c r="AL18" s="1"/>
    </row>
    <row r="19" spans="1:38" ht="28.9" customHeight="1">
      <c r="A19" s="1"/>
      <c r="B19" s="926"/>
      <c r="C19" s="927"/>
      <c r="D19" s="928"/>
      <c r="E19" s="297"/>
      <c r="F19" s="5" t="s">
        <v>7</v>
      </c>
      <c r="G19" s="5"/>
      <c r="H19" s="5"/>
      <c r="I19" s="5"/>
      <c r="J19" s="495" t="s">
        <v>426</v>
      </c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  <c r="W19" s="495"/>
      <c r="X19" s="495"/>
      <c r="Y19" s="495"/>
      <c r="Z19" s="495"/>
      <c r="AA19" s="495"/>
      <c r="AB19" s="495"/>
      <c r="AC19" s="495"/>
      <c r="AD19" s="495"/>
      <c r="AE19" s="495"/>
      <c r="AF19" s="6"/>
      <c r="AG19" s="1"/>
      <c r="AH19" s="1"/>
      <c r="AI19" s="1"/>
      <c r="AJ19" s="1"/>
      <c r="AK19" s="1"/>
      <c r="AL19" s="1"/>
    </row>
    <row r="20" spans="1:38" ht="28.9" customHeight="1">
      <c r="A20" s="1"/>
      <c r="B20" s="926"/>
      <c r="C20" s="927"/>
      <c r="D20" s="928"/>
      <c r="E20" s="297"/>
      <c r="F20" s="5" t="s">
        <v>49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494" t="str">
        <f>'INFORME PETREO SELLO CALIZO'!P18</f>
        <v>PLANTA CRIBISA EN LERDO, DGO.</v>
      </c>
      <c r="R20" s="494"/>
      <c r="S20" s="494"/>
      <c r="T20" s="494"/>
      <c r="U20" s="494"/>
      <c r="V20" s="494"/>
      <c r="W20" s="494"/>
      <c r="X20" s="494"/>
      <c r="Y20" s="494"/>
      <c r="Z20" s="494"/>
      <c r="AA20" s="494"/>
      <c r="AB20" s="494"/>
      <c r="AC20" s="494"/>
      <c r="AD20" s="494"/>
      <c r="AE20" s="494"/>
      <c r="AF20" s="6"/>
      <c r="AG20" s="1"/>
      <c r="AH20" s="1"/>
      <c r="AI20" s="1"/>
      <c r="AJ20" s="1"/>
      <c r="AK20" s="1"/>
      <c r="AL20" s="1"/>
    </row>
    <row r="21" spans="1:38" ht="8.4499999999999993" customHeight="1">
      <c r="A21" s="1"/>
      <c r="B21" s="29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1"/>
      <c r="AH21" s="1"/>
      <c r="AI21" s="1"/>
      <c r="AJ21" s="1"/>
      <c r="AK21" s="1"/>
      <c r="AL21" s="1"/>
    </row>
    <row r="22" spans="1:38" ht="7.9" customHeight="1">
      <c r="A22" s="1"/>
      <c r="B22" s="29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  <c r="AG22" s="1"/>
      <c r="AH22" s="1"/>
      <c r="AI22" s="1"/>
      <c r="AJ22" s="1"/>
      <c r="AK22" s="1"/>
      <c r="AL22" s="1"/>
    </row>
    <row r="23" spans="1:38" ht="8.4499999999999993" customHeight="1">
      <c r="A23" s="1"/>
      <c r="B23" s="29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/>
      <c r="AG23" s="1"/>
      <c r="AH23" s="1"/>
      <c r="AI23" s="1"/>
      <c r="AJ23" s="1"/>
      <c r="AK23" s="1"/>
      <c r="AL23" s="1"/>
    </row>
    <row r="24" spans="1:38" ht="18.75">
      <c r="A24" s="1"/>
      <c r="B24" s="923" t="s">
        <v>366</v>
      </c>
      <c r="C24" s="924"/>
      <c r="D24" s="924"/>
      <c r="E24" s="488"/>
      <c r="F24" s="488"/>
      <c r="G24" s="12" t="s">
        <v>367</v>
      </c>
      <c r="H24" s="12"/>
      <c r="I24" s="925"/>
      <c r="J24" s="925"/>
      <c r="K24" s="925"/>
      <c r="L24" s="925"/>
      <c r="M24" s="299" t="s">
        <v>368</v>
      </c>
      <c r="N24" s="5"/>
      <c r="O24" s="925"/>
      <c r="P24" s="925"/>
      <c r="Q24" s="925"/>
      <c r="R24" s="5" t="s">
        <v>369</v>
      </c>
      <c r="S24" s="925"/>
      <c r="T24" s="925"/>
      <c r="U24" s="925"/>
      <c r="V24" s="925"/>
      <c r="W24" s="925"/>
      <c r="X24" s="925"/>
      <c r="Y24" s="5" t="s">
        <v>370</v>
      </c>
      <c r="Z24" s="5"/>
      <c r="AA24" s="925"/>
      <c r="AB24" s="925"/>
      <c r="AC24" s="925"/>
      <c r="AD24" s="925"/>
      <c r="AE24" s="925"/>
      <c r="AF24" s="6"/>
      <c r="AG24" s="1"/>
      <c r="AH24" s="1"/>
      <c r="AI24" s="1"/>
      <c r="AJ24" s="1"/>
      <c r="AK24" s="1"/>
      <c r="AL24" s="1"/>
    </row>
    <row r="25" spans="1:38" ht="18.75">
      <c r="A25" s="1"/>
      <c r="B25" s="923" t="s">
        <v>371</v>
      </c>
      <c r="C25" s="924"/>
      <c r="D25" s="924"/>
      <c r="E25" s="924"/>
      <c r="F25" s="924"/>
      <c r="G25" s="924"/>
      <c r="H25" s="488"/>
      <c r="I25" s="488"/>
      <c r="J25" s="488"/>
      <c r="K25" s="488"/>
      <c r="L25" s="488"/>
      <c r="M25" s="488"/>
      <c r="N25" s="488"/>
      <c r="O25" s="488"/>
      <c r="P25" s="488"/>
      <c r="Q25" s="929" t="s">
        <v>372</v>
      </c>
      <c r="R25" s="929"/>
      <c r="S25" s="929"/>
      <c r="T25" s="930"/>
      <c r="U25" s="930"/>
      <c r="V25" s="930"/>
      <c r="W25" s="930"/>
      <c r="X25" s="929" t="s">
        <v>373</v>
      </c>
      <c r="Y25" s="929"/>
      <c r="Z25" s="929"/>
      <c r="AA25" s="929"/>
      <c r="AB25" s="929"/>
      <c r="AC25" s="929"/>
      <c r="AD25" s="929"/>
      <c r="AE25" s="300"/>
      <c r="AF25" s="6"/>
      <c r="AG25" s="1"/>
      <c r="AH25" s="1"/>
      <c r="AI25" s="1"/>
      <c r="AJ25" s="1"/>
      <c r="AK25" s="1"/>
      <c r="AL25" s="1"/>
    </row>
    <row r="26" spans="1:38" ht="7.9" customHeight="1">
      <c r="A26" s="1"/>
      <c r="B26" s="13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291"/>
      <c r="N26" s="291"/>
      <c r="O26" s="291"/>
      <c r="P26" s="291"/>
      <c r="Q26" s="302"/>
      <c r="R26" s="301"/>
      <c r="S26" s="301"/>
      <c r="T26" s="301"/>
      <c r="U26" s="301"/>
      <c r="V26" s="301"/>
      <c r="W26" s="301"/>
      <c r="X26" s="302"/>
      <c r="Y26" s="301"/>
      <c r="Z26" s="301"/>
      <c r="AA26" s="301"/>
      <c r="AB26" s="301"/>
      <c r="AC26" s="301"/>
      <c r="AD26" s="301"/>
      <c r="AE26" s="301"/>
      <c r="AF26" s="9"/>
      <c r="AG26" s="1"/>
      <c r="AH26" s="1"/>
      <c r="AI26" s="1"/>
      <c r="AJ26" s="1"/>
      <c r="AK26" s="1"/>
      <c r="AL26" s="1"/>
    </row>
    <row r="27" spans="1:38" ht="7.9" customHeight="1">
      <c r="A27" s="1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6"/>
      <c r="AG27" s="1"/>
      <c r="AH27" s="1"/>
      <c r="AI27" s="1"/>
      <c r="AJ27" s="1"/>
      <c r="AK27" s="1"/>
      <c r="AL27" s="1"/>
    </row>
    <row r="28" spans="1:38" ht="20.45" customHeight="1">
      <c r="A28" s="1"/>
      <c r="B28" s="931" t="s">
        <v>374</v>
      </c>
      <c r="C28" s="932" t="s">
        <v>375</v>
      </c>
      <c r="D28" s="932"/>
      <c r="E28" s="932"/>
      <c r="F28" s="932"/>
      <c r="G28" s="932"/>
      <c r="H28" s="933">
        <v>1788</v>
      </c>
      <c r="I28" s="934"/>
      <c r="J28" s="934"/>
      <c r="K28" s="934"/>
      <c r="L28" s="935"/>
      <c r="M28" s="303"/>
      <c r="N28" s="16"/>
      <c r="O28" s="525" t="s">
        <v>439</v>
      </c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F28" s="11"/>
      <c r="AG28" s="1"/>
      <c r="AH28" s="1"/>
      <c r="AI28" s="1"/>
      <c r="AJ28" s="1"/>
      <c r="AK28" s="1"/>
      <c r="AL28" s="1"/>
    </row>
    <row r="29" spans="1:38" ht="20.45" customHeight="1">
      <c r="A29" s="1"/>
      <c r="B29" s="931"/>
      <c r="C29" s="936" t="s">
        <v>376</v>
      </c>
      <c r="D29" s="936"/>
      <c r="E29" s="936"/>
      <c r="F29" s="936"/>
      <c r="G29" s="936"/>
      <c r="H29" s="936"/>
      <c r="I29" s="936"/>
      <c r="J29" s="936"/>
      <c r="K29" s="936"/>
      <c r="L29" s="936"/>
      <c r="M29" s="304"/>
      <c r="N29" s="544" t="s">
        <v>36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6"/>
      <c r="AG29" s="1"/>
      <c r="AH29" s="1"/>
      <c r="AI29" s="1"/>
      <c r="AJ29" s="1"/>
      <c r="AK29" s="1"/>
      <c r="AL29" s="1"/>
    </row>
    <row r="30" spans="1:38" ht="21.6" customHeight="1">
      <c r="A30" s="1"/>
      <c r="B30" s="931"/>
      <c r="C30" s="939" t="s">
        <v>377</v>
      </c>
      <c r="D30" s="940"/>
      <c r="E30" s="945" t="s">
        <v>8</v>
      </c>
      <c r="F30" s="946"/>
      <c r="G30" s="305" t="s">
        <v>378</v>
      </c>
      <c r="H30" s="947" t="s">
        <v>379</v>
      </c>
      <c r="I30" s="948"/>
      <c r="J30" s="948"/>
      <c r="K30" s="948"/>
      <c r="L30" s="949"/>
      <c r="M30" s="15"/>
      <c r="N30" s="544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6"/>
      <c r="AG30" s="1"/>
      <c r="AH30" s="1"/>
      <c r="AI30" s="1"/>
      <c r="AJ30" s="1"/>
      <c r="AK30" s="1"/>
      <c r="AL30" s="1"/>
    </row>
    <row r="31" spans="1:38" ht="21.6" customHeight="1">
      <c r="A31" s="1"/>
      <c r="B31" s="931"/>
      <c r="C31" s="941"/>
      <c r="D31" s="942"/>
      <c r="E31" s="937" t="s">
        <v>380</v>
      </c>
      <c r="F31" s="938"/>
      <c r="G31" s="306">
        <f>'INFORME PETREO FISICO'!F28</f>
        <v>100</v>
      </c>
      <c r="H31" s="502"/>
      <c r="I31" s="503"/>
      <c r="J31" s="503"/>
      <c r="K31" s="503"/>
      <c r="L31" s="504"/>
      <c r="M31" s="15"/>
      <c r="N31" s="544"/>
      <c r="O31" s="15"/>
      <c r="P31" s="15">
        <v>25</v>
      </c>
      <c r="Q31" s="15">
        <v>100</v>
      </c>
      <c r="R31" s="335">
        <v>100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6"/>
      <c r="AG31" s="1"/>
      <c r="AH31" s="1"/>
      <c r="AI31" s="1"/>
      <c r="AJ31" s="1"/>
      <c r="AK31" s="1"/>
      <c r="AL31" s="1"/>
    </row>
    <row r="32" spans="1:38" ht="21.6" customHeight="1">
      <c r="A32" s="1"/>
      <c r="B32" s="931"/>
      <c r="C32" s="941"/>
      <c r="D32" s="942"/>
      <c r="E32" s="937" t="s">
        <v>381</v>
      </c>
      <c r="F32" s="938"/>
      <c r="G32" s="306">
        <f>'INFORME PETREO FISICO'!F29</f>
        <v>100</v>
      </c>
      <c r="H32" s="502"/>
      <c r="I32" s="503"/>
      <c r="J32" s="503"/>
      <c r="K32" s="503"/>
      <c r="L32" s="504"/>
      <c r="M32" s="15"/>
      <c r="N32" s="544"/>
      <c r="O32" s="15"/>
      <c r="P32" s="15">
        <v>19</v>
      </c>
      <c r="Q32" s="15">
        <v>100</v>
      </c>
      <c r="R32" s="15">
        <v>100</v>
      </c>
      <c r="S32" s="15"/>
      <c r="T32" s="17"/>
      <c r="U32" s="15"/>
      <c r="V32" s="15"/>
      <c r="W32" s="15"/>
      <c r="X32" s="15"/>
      <c r="Y32" s="307">
        <v>0.25</v>
      </c>
      <c r="Z32" s="15"/>
      <c r="AA32" s="15"/>
      <c r="AB32" s="15"/>
      <c r="AC32" s="15"/>
      <c r="AD32" s="15"/>
      <c r="AE32" s="15"/>
      <c r="AF32" s="6"/>
      <c r="AG32" s="1"/>
      <c r="AH32" s="1"/>
      <c r="AI32" s="1"/>
      <c r="AJ32" s="1"/>
      <c r="AK32" s="1"/>
      <c r="AL32" s="1"/>
    </row>
    <row r="33" spans="1:38" ht="21.6" customHeight="1">
      <c r="A33" s="1"/>
      <c r="B33" s="931"/>
      <c r="C33" s="941"/>
      <c r="D33" s="942"/>
      <c r="E33" s="937" t="s">
        <v>382</v>
      </c>
      <c r="F33" s="938"/>
      <c r="G33" s="306">
        <f>'INFORME PETREO FISICO'!F30</f>
        <v>100</v>
      </c>
      <c r="H33" s="502">
        <v>100</v>
      </c>
      <c r="I33" s="503"/>
      <c r="J33" s="503"/>
      <c r="K33" s="503"/>
      <c r="L33" s="504"/>
      <c r="M33" s="15"/>
      <c r="N33" s="544"/>
      <c r="O33" s="15"/>
      <c r="P33" s="15">
        <v>12.5</v>
      </c>
      <c r="Q33" s="15">
        <v>100</v>
      </c>
      <c r="R33" s="15">
        <v>100</v>
      </c>
      <c r="S33" s="15"/>
      <c r="T33" s="17"/>
      <c r="U33" s="15"/>
      <c r="V33" s="15"/>
      <c r="W33" s="15"/>
      <c r="X33" s="15"/>
      <c r="Y33" s="307">
        <v>0.375</v>
      </c>
      <c r="Z33" s="15"/>
      <c r="AA33" s="15"/>
      <c r="AB33" s="15"/>
      <c r="AC33" s="15"/>
      <c r="AD33" s="15"/>
      <c r="AE33" s="15"/>
      <c r="AF33" s="6"/>
      <c r="AG33" s="1"/>
      <c r="AH33" s="1"/>
      <c r="AI33" s="1"/>
      <c r="AJ33" s="1"/>
      <c r="AK33" s="1"/>
      <c r="AL33" s="1"/>
    </row>
    <row r="34" spans="1:38" ht="21.6" customHeight="1">
      <c r="A34" s="1"/>
      <c r="B34" s="931"/>
      <c r="C34" s="941"/>
      <c r="D34" s="942"/>
      <c r="E34" s="937" t="s">
        <v>383</v>
      </c>
      <c r="F34" s="938"/>
      <c r="G34" s="306">
        <f>'INFORME PETREO FISICO'!F31</f>
        <v>99.646814460536859</v>
      </c>
      <c r="H34" s="502" t="s">
        <v>9</v>
      </c>
      <c r="I34" s="503"/>
      <c r="J34" s="503"/>
      <c r="K34" s="503"/>
      <c r="L34" s="504"/>
      <c r="M34" s="15"/>
      <c r="N34" s="544"/>
      <c r="O34" s="15"/>
      <c r="P34" s="15">
        <v>9.5</v>
      </c>
      <c r="Q34" s="15">
        <v>90</v>
      </c>
      <c r="R34" s="15">
        <v>100</v>
      </c>
      <c r="S34" s="15"/>
      <c r="T34" s="17"/>
      <c r="U34" s="15"/>
      <c r="V34" s="15"/>
      <c r="W34" s="15"/>
      <c r="X34" s="15"/>
      <c r="Y34" s="307">
        <v>0.5</v>
      </c>
      <c r="Z34" s="15"/>
      <c r="AA34" s="15"/>
      <c r="AB34" s="15"/>
      <c r="AC34" s="15"/>
      <c r="AD34" s="15"/>
      <c r="AE34" s="15"/>
      <c r="AF34" s="6"/>
      <c r="AG34" s="1"/>
      <c r="AH34" s="1"/>
      <c r="AI34" s="1"/>
      <c r="AJ34" s="1"/>
      <c r="AK34" s="1"/>
      <c r="AL34" s="1"/>
    </row>
    <row r="35" spans="1:38" ht="21.6" customHeight="1">
      <c r="A35" s="1"/>
      <c r="B35" s="931"/>
      <c r="C35" s="941"/>
      <c r="D35" s="942"/>
      <c r="E35" s="937" t="s">
        <v>384</v>
      </c>
      <c r="F35" s="938"/>
      <c r="G35" s="306">
        <f>'INFORME PETREO FISICO'!F32</f>
        <v>80.227717570710553</v>
      </c>
      <c r="H35" s="502" t="s">
        <v>431</v>
      </c>
      <c r="I35" s="503"/>
      <c r="J35" s="503"/>
      <c r="K35" s="503"/>
      <c r="L35" s="504"/>
      <c r="M35" s="15"/>
      <c r="N35" s="544"/>
      <c r="O35" s="15"/>
      <c r="P35" s="15">
        <v>6.3</v>
      </c>
      <c r="Q35" s="15">
        <v>70</v>
      </c>
      <c r="R35" s="15">
        <v>81</v>
      </c>
      <c r="S35" s="15"/>
      <c r="T35" s="17"/>
      <c r="U35" s="15"/>
      <c r="V35" s="15"/>
      <c r="W35" s="15"/>
      <c r="X35" s="15"/>
      <c r="Y35" s="307">
        <v>0.75</v>
      </c>
      <c r="Z35" s="15"/>
      <c r="AA35" s="15"/>
      <c r="AB35" s="15"/>
      <c r="AC35" s="15"/>
      <c r="AD35" s="15"/>
      <c r="AE35" s="15"/>
      <c r="AF35" s="6"/>
      <c r="AG35" s="1"/>
      <c r="AH35" s="1"/>
      <c r="AI35" s="1"/>
      <c r="AJ35" s="1"/>
      <c r="AK35" s="1"/>
      <c r="AL35" s="1"/>
    </row>
    <row r="36" spans="1:38" ht="21.6" customHeight="1">
      <c r="A36" s="1"/>
      <c r="B36" s="931"/>
      <c r="C36" s="941"/>
      <c r="D36" s="942"/>
      <c r="E36" s="937" t="s">
        <v>385</v>
      </c>
      <c r="F36" s="938"/>
      <c r="G36" s="306">
        <f>'INFORME PETREO FISICO'!F33</f>
        <v>68.200780629019334</v>
      </c>
      <c r="H36" s="502" t="s">
        <v>432</v>
      </c>
      <c r="I36" s="503"/>
      <c r="J36" s="503"/>
      <c r="K36" s="503"/>
      <c r="L36" s="504"/>
      <c r="M36" s="15"/>
      <c r="N36" s="544"/>
      <c r="O36" s="15"/>
      <c r="P36" s="15">
        <v>4.75</v>
      </c>
      <c r="Q36" s="15">
        <v>56</v>
      </c>
      <c r="R36" s="15">
        <v>69</v>
      </c>
      <c r="S36" s="15"/>
      <c r="T36" s="17"/>
      <c r="U36" s="15"/>
      <c r="V36" s="15"/>
      <c r="W36" s="15"/>
      <c r="X36" s="15"/>
      <c r="Y36" s="307">
        <v>4</v>
      </c>
      <c r="Z36" s="15"/>
      <c r="AA36" s="15"/>
      <c r="AB36" s="15"/>
      <c r="AC36" s="15"/>
      <c r="AD36" s="15"/>
      <c r="AE36" s="15"/>
      <c r="AF36" s="6"/>
      <c r="AG36" s="1"/>
      <c r="AH36" s="1"/>
      <c r="AI36" s="1"/>
      <c r="AJ36" s="1"/>
      <c r="AK36" s="1"/>
      <c r="AL36" s="1"/>
    </row>
    <row r="37" spans="1:38" ht="21.6" customHeight="1">
      <c r="A37" s="1"/>
      <c r="B37" s="931"/>
      <c r="C37" s="941"/>
      <c r="D37" s="942"/>
      <c r="E37" s="937" t="s">
        <v>386</v>
      </c>
      <c r="F37" s="938"/>
      <c r="G37" s="306">
        <f>'INFORME PETREO FISICO'!F34</f>
        <v>37.359673314639217</v>
      </c>
      <c r="H37" s="502" t="s">
        <v>433</v>
      </c>
      <c r="I37" s="503"/>
      <c r="J37" s="503"/>
      <c r="K37" s="503"/>
      <c r="L37" s="504"/>
      <c r="M37" s="15"/>
      <c r="N37" s="544"/>
      <c r="O37" s="15"/>
      <c r="P37" s="15">
        <v>2</v>
      </c>
      <c r="Q37" s="15">
        <v>28</v>
      </c>
      <c r="R37" s="15">
        <v>42</v>
      </c>
      <c r="S37" s="15"/>
      <c r="T37" s="17"/>
      <c r="U37" s="15"/>
      <c r="V37" s="15"/>
      <c r="W37" s="15"/>
      <c r="X37" s="15"/>
      <c r="Y37" s="307">
        <v>10</v>
      </c>
      <c r="Z37" s="15"/>
      <c r="AA37" s="15"/>
      <c r="AB37" s="15"/>
      <c r="AC37" s="15"/>
      <c r="AD37" s="15"/>
      <c r="AE37" s="15"/>
      <c r="AF37" s="6"/>
      <c r="AG37" s="1"/>
      <c r="AH37" s="1"/>
      <c r="AI37" s="1"/>
      <c r="AJ37" s="1"/>
      <c r="AK37" s="1"/>
      <c r="AL37" s="1"/>
    </row>
    <row r="38" spans="1:38" ht="21.6" customHeight="1">
      <c r="A38" s="1"/>
      <c r="B38" s="931"/>
      <c r="C38" s="941"/>
      <c r="D38" s="942"/>
      <c r="E38" s="937" t="s">
        <v>387</v>
      </c>
      <c r="F38" s="938"/>
      <c r="G38" s="306">
        <f>'INFORME PETREO FISICO'!F35</f>
        <v>23.214434955771178</v>
      </c>
      <c r="H38" s="502" t="s">
        <v>434</v>
      </c>
      <c r="I38" s="503"/>
      <c r="J38" s="503"/>
      <c r="K38" s="503"/>
      <c r="L38" s="504"/>
      <c r="M38" s="15"/>
      <c r="N38" s="544"/>
      <c r="O38" s="15"/>
      <c r="P38" s="15">
        <v>0.85</v>
      </c>
      <c r="Q38" s="15">
        <v>18</v>
      </c>
      <c r="R38" s="15">
        <v>27</v>
      </c>
      <c r="S38" s="15"/>
      <c r="T38" s="17"/>
      <c r="U38" s="15"/>
      <c r="V38" s="15"/>
      <c r="W38" s="15"/>
      <c r="X38" s="15"/>
      <c r="Y38" s="307">
        <v>20</v>
      </c>
      <c r="Z38" s="15"/>
      <c r="AA38" s="15"/>
      <c r="AB38" s="15"/>
      <c r="AC38" s="15"/>
      <c r="AD38" s="15"/>
      <c r="AE38" s="15"/>
      <c r="AF38" s="6"/>
      <c r="AG38" s="1"/>
      <c r="AH38" s="1"/>
      <c r="AI38" s="1"/>
      <c r="AJ38" s="1"/>
      <c r="AK38" s="1"/>
      <c r="AL38" s="1"/>
    </row>
    <row r="39" spans="1:38" ht="21.6" customHeight="1">
      <c r="A39" s="1"/>
      <c r="B39" s="931"/>
      <c r="C39" s="941"/>
      <c r="D39" s="942"/>
      <c r="E39" s="937" t="s">
        <v>388</v>
      </c>
      <c r="F39" s="938"/>
      <c r="G39" s="306">
        <f>'INFORME PETREO FISICO'!F36</f>
        <v>14.762535511647789</v>
      </c>
      <c r="H39" s="502" t="s">
        <v>435</v>
      </c>
      <c r="I39" s="503"/>
      <c r="J39" s="503"/>
      <c r="K39" s="503"/>
      <c r="L39" s="504"/>
      <c r="M39" s="15"/>
      <c r="N39" s="544"/>
      <c r="O39" s="15"/>
      <c r="P39" s="15">
        <v>0.42499999999999999</v>
      </c>
      <c r="Q39" s="15">
        <v>13</v>
      </c>
      <c r="R39" s="15">
        <v>20</v>
      </c>
      <c r="S39" s="15"/>
      <c r="T39" s="17"/>
      <c r="U39" s="15"/>
      <c r="V39" s="15"/>
      <c r="W39" s="15"/>
      <c r="X39" s="15"/>
      <c r="Y39" s="307">
        <v>40</v>
      </c>
      <c r="Z39" s="15"/>
      <c r="AA39" s="15"/>
      <c r="AB39" s="15"/>
      <c r="AC39" s="15"/>
      <c r="AD39" s="15"/>
      <c r="AE39" s="15"/>
      <c r="AF39" s="6"/>
      <c r="AG39" s="1"/>
      <c r="AH39" s="1"/>
      <c r="AI39" s="1"/>
      <c r="AJ39" s="1"/>
      <c r="AK39" s="1"/>
      <c r="AL39" s="1"/>
    </row>
    <row r="40" spans="1:38" ht="21.6" customHeight="1">
      <c r="A40" s="1"/>
      <c r="B40" s="931"/>
      <c r="C40" s="941"/>
      <c r="D40" s="942"/>
      <c r="E40" s="937" t="s">
        <v>389</v>
      </c>
      <c r="F40" s="938"/>
      <c r="G40" s="306">
        <f>'INFORME PETREO FISICO'!F37</f>
        <v>10.559172821495666</v>
      </c>
      <c r="H40" s="502" t="s">
        <v>436</v>
      </c>
      <c r="I40" s="503"/>
      <c r="J40" s="503"/>
      <c r="K40" s="503"/>
      <c r="L40" s="504"/>
      <c r="M40" s="15"/>
      <c r="N40" s="544"/>
      <c r="O40" s="15"/>
      <c r="P40" s="15">
        <v>0.25</v>
      </c>
      <c r="Q40" s="15">
        <v>10</v>
      </c>
      <c r="R40" s="15">
        <v>15</v>
      </c>
      <c r="S40" s="15"/>
      <c r="T40" s="17"/>
      <c r="U40" s="15"/>
      <c r="V40" s="15"/>
      <c r="W40" s="15"/>
      <c r="X40" s="15"/>
      <c r="Y40" s="307">
        <v>60</v>
      </c>
      <c r="Z40" s="15"/>
      <c r="AA40" s="15"/>
      <c r="AB40" s="15"/>
      <c r="AC40" s="15"/>
      <c r="AD40" s="15"/>
      <c r="AE40" s="15"/>
      <c r="AF40" s="6"/>
      <c r="AG40" s="1"/>
      <c r="AH40" s="1"/>
      <c r="AI40" s="1"/>
      <c r="AJ40" s="1"/>
      <c r="AK40" s="1"/>
      <c r="AL40" s="1"/>
    </row>
    <row r="41" spans="1:38" ht="21.6" customHeight="1">
      <c r="A41" s="1"/>
      <c r="B41" s="931"/>
      <c r="C41" s="941"/>
      <c r="D41" s="942"/>
      <c r="E41" s="937" t="s">
        <v>390</v>
      </c>
      <c r="F41" s="938"/>
      <c r="G41" s="306">
        <f>'INFORME PETREO FISICO'!F38</f>
        <v>8.7076916365477075</v>
      </c>
      <c r="H41" s="502" t="s">
        <v>437</v>
      </c>
      <c r="I41" s="503"/>
      <c r="J41" s="503"/>
      <c r="K41" s="503"/>
      <c r="L41" s="504"/>
      <c r="M41" s="15"/>
      <c r="N41" s="544"/>
      <c r="O41" s="15"/>
      <c r="P41" s="15">
        <v>0.15</v>
      </c>
      <c r="Q41" s="15">
        <v>6</v>
      </c>
      <c r="R41" s="15">
        <v>12</v>
      </c>
      <c r="S41" s="15"/>
      <c r="T41" s="17"/>
      <c r="U41" s="15"/>
      <c r="V41" s="15"/>
      <c r="W41" s="15"/>
      <c r="X41" s="15"/>
      <c r="Y41" s="307">
        <v>100</v>
      </c>
      <c r="Z41" s="15"/>
      <c r="AA41" s="15"/>
      <c r="AB41" s="15"/>
      <c r="AC41" s="15"/>
      <c r="AD41" s="15"/>
      <c r="AE41" s="15"/>
      <c r="AF41" s="6"/>
      <c r="AG41" s="1"/>
      <c r="AH41" s="1"/>
      <c r="AI41" s="1"/>
      <c r="AJ41" s="1"/>
      <c r="AK41" s="1"/>
      <c r="AL41" s="1"/>
    </row>
    <row r="42" spans="1:38" ht="21.6" customHeight="1">
      <c r="A42" s="1"/>
      <c r="B42" s="931"/>
      <c r="C42" s="943"/>
      <c r="D42" s="944"/>
      <c r="E42" s="937" t="s">
        <v>391</v>
      </c>
      <c r="F42" s="938"/>
      <c r="G42" s="306">
        <f>'INFORME PETREO FISICO'!F39</f>
        <v>6.2657380736974275</v>
      </c>
      <c r="H42" s="502" t="s">
        <v>438</v>
      </c>
      <c r="I42" s="503"/>
      <c r="J42" s="503"/>
      <c r="K42" s="503"/>
      <c r="L42" s="504"/>
      <c r="M42" s="15"/>
      <c r="N42" s="544"/>
      <c r="O42" s="15"/>
      <c r="P42" s="15">
        <v>7.4999999999999997E-2</v>
      </c>
      <c r="Q42" s="15">
        <v>2</v>
      </c>
      <c r="R42" s="15">
        <v>7</v>
      </c>
      <c r="S42" s="15"/>
      <c r="T42" s="17"/>
      <c r="U42" s="15"/>
      <c r="V42" s="15"/>
      <c r="W42" s="15"/>
      <c r="X42" s="15"/>
      <c r="Y42" s="307">
        <v>200</v>
      </c>
      <c r="Z42" s="15"/>
      <c r="AA42" s="15"/>
      <c r="AB42" s="15"/>
      <c r="AC42" s="15"/>
      <c r="AD42" s="15"/>
      <c r="AE42" s="15"/>
      <c r="AF42" s="6"/>
      <c r="AG42" s="1"/>
      <c r="AH42" s="1"/>
      <c r="AI42" s="1"/>
      <c r="AJ42" s="1"/>
      <c r="AK42" s="1"/>
      <c r="AL42" s="1"/>
    </row>
    <row r="43" spans="1:38" ht="20.45" customHeight="1">
      <c r="A43" s="1"/>
      <c r="B43" s="931"/>
      <c r="C43" s="937" t="s">
        <v>392</v>
      </c>
      <c r="D43" s="950"/>
      <c r="E43" s="950"/>
      <c r="F43" s="938"/>
      <c r="G43" s="308"/>
      <c r="H43" s="502" t="s">
        <v>393</v>
      </c>
      <c r="I43" s="503"/>
      <c r="J43" s="503"/>
      <c r="K43" s="503"/>
      <c r="L43" s="504"/>
      <c r="M43" s="15"/>
      <c r="N43" s="54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6"/>
      <c r="AG43" s="1"/>
      <c r="AH43" s="1"/>
      <c r="AI43" s="1"/>
      <c r="AJ43" s="1"/>
      <c r="AK43" s="1"/>
      <c r="AL43" s="1"/>
    </row>
    <row r="44" spans="1:38" ht="20.45" customHeight="1">
      <c r="A44" s="1"/>
      <c r="B44" s="931"/>
      <c r="C44" s="937" t="s">
        <v>394</v>
      </c>
      <c r="D44" s="950"/>
      <c r="E44" s="950"/>
      <c r="F44" s="938"/>
      <c r="G44" s="308"/>
      <c r="H44" s="502"/>
      <c r="I44" s="503"/>
      <c r="J44" s="503"/>
      <c r="K44" s="503"/>
      <c r="L44" s="504"/>
      <c r="M44" s="15"/>
      <c r="N44" s="544"/>
      <c r="O44" s="15"/>
      <c r="P44" s="15"/>
      <c r="Q44" s="17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6"/>
      <c r="AG44" s="1"/>
      <c r="AH44" s="1"/>
      <c r="AI44" s="1"/>
      <c r="AJ44" s="1"/>
      <c r="AK44" s="1"/>
      <c r="AL44" s="1"/>
    </row>
    <row r="45" spans="1:38" ht="20.45" customHeight="1">
      <c r="A45" s="1"/>
      <c r="B45" s="931"/>
      <c r="C45" s="937" t="s">
        <v>395</v>
      </c>
      <c r="D45" s="950"/>
      <c r="E45" s="950"/>
      <c r="F45" s="938"/>
      <c r="G45" s="309"/>
      <c r="H45" s="502" t="s">
        <v>396</v>
      </c>
      <c r="I45" s="503"/>
      <c r="J45" s="503"/>
      <c r="K45" s="503"/>
      <c r="L45" s="504"/>
      <c r="M45" s="15"/>
      <c r="N45" s="544"/>
      <c r="O45" s="15"/>
      <c r="P45" s="15"/>
      <c r="Q45" s="17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6"/>
      <c r="AG45" s="1"/>
      <c r="AH45" s="1"/>
      <c r="AI45" s="1"/>
      <c r="AJ45" s="1"/>
      <c r="AK45" s="1"/>
      <c r="AL45" s="1"/>
    </row>
    <row r="46" spans="1:38" ht="20.45" customHeight="1">
      <c r="A46" s="1"/>
      <c r="B46" s="931"/>
      <c r="C46" s="937" t="s">
        <v>397</v>
      </c>
      <c r="D46" s="950"/>
      <c r="E46" s="950"/>
      <c r="F46" s="938"/>
      <c r="G46" s="309"/>
      <c r="H46" s="502"/>
      <c r="I46" s="503"/>
      <c r="J46" s="503"/>
      <c r="K46" s="503"/>
      <c r="L46" s="504"/>
      <c r="M46" s="15"/>
      <c r="N46" s="544"/>
      <c r="O46" s="15"/>
      <c r="P46" s="15"/>
      <c r="Q46" s="17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6"/>
      <c r="AG46" s="1"/>
      <c r="AH46" s="1"/>
      <c r="AI46" s="1"/>
      <c r="AJ46" s="1"/>
      <c r="AK46" s="1"/>
      <c r="AL46" s="1"/>
    </row>
    <row r="47" spans="1:38" ht="20.45" customHeight="1">
      <c r="A47" s="1"/>
      <c r="B47" s="931"/>
      <c r="C47" s="951" t="s">
        <v>398</v>
      </c>
      <c r="D47" s="952"/>
      <c r="E47" s="952"/>
      <c r="F47" s="953"/>
      <c r="G47" s="957"/>
      <c r="H47" s="959" t="s">
        <v>399</v>
      </c>
      <c r="I47" s="960"/>
      <c r="J47" s="960"/>
      <c r="K47" s="960"/>
      <c r="L47" s="961"/>
      <c r="M47" s="15"/>
      <c r="N47" s="544"/>
      <c r="O47" s="15"/>
      <c r="P47" s="15"/>
      <c r="Q47" s="17"/>
      <c r="R47" s="15"/>
      <c r="S47" s="15"/>
      <c r="T47" s="15"/>
      <c r="U47" s="15"/>
      <c r="V47" s="15"/>
      <c r="W47" s="15" t="s">
        <v>400</v>
      </c>
      <c r="X47" s="15"/>
      <c r="Y47" s="15"/>
      <c r="Z47" s="15"/>
      <c r="AA47" s="15"/>
      <c r="AB47" s="15"/>
      <c r="AC47" s="15"/>
      <c r="AD47" s="15"/>
      <c r="AE47" s="15"/>
      <c r="AF47" s="6"/>
      <c r="AG47" s="1"/>
      <c r="AH47" s="1"/>
      <c r="AI47" s="1"/>
      <c r="AJ47" s="1"/>
      <c r="AK47" s="1"/>
      <c r="AL47" s="1"/>
    </row>
    <row r="48" spans="1:38" ht="20.45" customHeight="1">
      <c r="A48" s="1"/>
      <c r="B48" s="931"/>
      <c r="C48" s="954"/>
      <c r="D48" s="955"/>
      <c r="E48" s="955"/>
      <c r="F48" s="956"/>
      <c r="G48" s="958"/>
      <c r="H48" s="962"/>
      <c r="I48" s="488"/>
      <c r="J48" s="488"/>
      <c r="K48" s="488"/>
      <c r="L48" s="963"/>
      <c r="M48" s="15"/>
      <c r="N48" s="544"/>
      <c r="O48" s="15"/>
      <c r="P48" s="15"/>
      <c r="Q48" s="15" t="s">
        <v>401</v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6"/>
      <c r="AG48" s="1"/>
      <c r="AH48" s="1"/>
      <c r="AI48" s="1"/>
      <c r="AJ48" s="1"/>
      <c r="AK48" s="1"/>
      <c r="AL48" s="1"/>
    </row>
    <row r="49" spans="1:38" ht="20.45" customHeight="1">
      <c r="A49" s="1"/>
      <c r="B49" s="931"/>
      <c r="C49" s="964" t="s">
        <v>402</v>
      </c>
      <c r="D49" s="965"/>
      <c r="E49" s="965"/>
      <c r="F49" s="966"/>
      <c r="G49" s="957"/>
      <c r="H49" s="959" t="s">
        <v>403</v>
      </c>
      <c r="I49" s="960"/>
      <c r="J49" s="960"/>
      <c r="K49" s="960"/>
      <c r="L49" s="961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6"/>
      <c r="AG49" s="1"/>
      <c r="AH49" s="1"/>
      <c r="AI49" s="1"/>
      <c r="AJ49" s="1"/>
      <c r="AK49" s="1"/>
      <c r="AL49" s="1"/>
    </row>
    <row r="50" spans="1:38" ht="20.45" customHeight="1">
      <c r="A50" s="1"/>
      <c r="B50" s="931"/>
      <c r="C50" s="967"/>
      <c r="D50" s="968"/>
      <c r="E50" s="968"/>
      <c r="F50" s="969"/>
      <c r="G50" s="958"/>
      <c r="H50" s="962"/>
      <c r="I50" s="488"/>
      <c r="J50" s="488"/>
      <c r="K50" s="488"/>
      <c r="L50" s="963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9"/>
      <c r="AG50" s="1"/>
      <c r="AH50" s="1"/>
      <c r="AI50" s="1"/>
      <c r="AJ50" s="1"/>
      <c r="AK50" s="1"/>
      <c r="AL50" s="1"/>
    </row>
    <row r="51" spans="1:38" ht="7.9" customHeight="1">
      <c r="A51" s="1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6"/>
      <c r="AG51" s="1"/>
      <c r="AH51" s="1"/>
      <c r="AI51" s="1"/>
      <c r="AJ51" s="1"/>
      <c r="AK51" s="1"/>
      <c r="AL51" s="1"/>
    </row>
    <row r="52" spans="1:38" ht="45" customHeight="1">
      <c r="A52" s="1"/>
      <c r="B52" s="970" t="s">
        <v>404</v>
      </c>
      <c r="C52" s="971"/>
      <c r="D52" s="971"/>
      <c r="E52" s="971"/>
      <c r="F52" s="971"/>
      <c r="G52" s="972"/>
      <c r="H52" s="970" t="s">
        <v>379</v>
      </c>
      <c r="I52" s="971"/>
      <c r="J52" s="971"/>
      <c r="K52" s="971"/>
      <c r="L52" s="972"/>
      <c r="M52" s="15"/>
      <c r="N52" s="973" t="s">
        <v>405</v>
      </c>
      <c r="O52" s="973"/>
      <c r="P52" s="973"/>
      <c r="Q52" s="973"/>
      <c r="R52" s="973"/>
      <c r="S52" s="973"/>
      <c r="T52" s="973" t="s">
        <v>427</v>
      </c>
      <c r="U52" s="973"/>
      <c r="V52" s="973"/>
      <c r="W52" s="973"/>
      <c r="X52" s="310"/>
      <c r="Y52" s="973" t="s">
        <v>406</v>
      </c>
      <c r="Z52" s="973"/>
      <c r="AA52" s="973"/>
      <c r="AB52" s="973"/>
      <c r="AC52" s="973"/>
      <c r="AD52" s="973"/>
      <c r="AE52" s="973"/>
      <c r="AF52" s="973"/>
      <c r="AG52" s="1"/>
      <c r="AH52" s="1"/>
      <c r="AI52" s="1"/>
      <c r="AJ52" s="1"/>
      <c r="AK52" s="1"/>
      <c r="AL52" s="1"/>
    </row>
    <row r="53" spans="1:38" ht="19.899999999999999" customHeight="1">
      <c r="A53" s="1"/>
      <c r="B53" s="505" t="s">
        <v>407</v>
      </c>
      <c r="C53" s="505"/>
      <c r="D53" s="505"/>
      <c r="E53" s="505"/>
      <c r="F53" s="505"/>
      <c r="G53" s="311">
        <v>5</v>
      </c>
      <c r="H53" s="974">
        <f>'INFORME MARSHALL'!F43</f>
        <v>4.8</v>
      </c>
      <c r="I53" s="975"/>
      <c r="J53" s="975"/>
      <c r="K53" s="975"/>
      <c r="L53" s="976"/>
      <c r="M53" s="15"/>
      <c r="N53" s="977" t="s">
        <v>408</v>
      </c>
      <c r="O53" s="977"/>
      <c r="P53" s="977"/>
      <c r="Q53" s="977"/>
      <c r="R53" s="978">
        <f>'INFORME MARSHALL'!F44</f>
        <v>2375.1630605429386</v>
      </c>
      <c r="S53" s="978"/>
      <c r="T53" s="979"/>
      <c r="U53" s="979"/>
      <c r="V53" s="979"/>
      <c r="W53" s="979"/>
      <c r="X53" s="310"/>
      <c r="Y53" s="981" t="s">
        <v>409</v>
      </c>
      <c r="Z53" s="981"/>
      <c r="AA53" s="981"/>
      <c r="AB53" s="981"/>
      <c r="AC53" s="981"/>
      <c r="AD53" s="936" t="s">
        <v>462</v>
      </c>
      <c r="AE53" s="936"/>
      <c r="AF53" s="936"/>
      <c r="AG53" s="1"/>
      <c r="AH53" s="1"/>
      <c r="AI53" s="1"/>
      <c r="AJ53" s="1"/>
      <c r="AK53" s="1"/>
      <c r="AL53" s="1"/>
    </row>
    <row r="54" spans="1:38" ht="19.899999999999999" customHeight="1">
      <c r="A54" s="1"/>
      <c r="B54" s="982" t="s">
        <v>410</v>
      </c>
      <c r="C54" s="982"/>
      <c r="D54" s="982"/>
      <c r="E54" s="937" t="s">
        <v>411</v>
      </c>
      <c r="F54" s="938"/>
      <c r="G54" s="309"/>
      <c r="H54" s="502"/>
      <c r="I54" s="503"/>
      <c r="J54" s="503"/>
      <c r="K54" s="503"/>
      <c r="L54" s="504"/>
      <c r="M54" s="15"/>
      <c r="N54" s="977" t="s">
        <v>412</v>
      </c>
      <c r="O54" s="977"/>
      <c r="P54" s="977"/>
      <c r="Q54" s="977"/>
      <c r="R54" s="978">
        <f>'INFORME MARSHALL'!F49</f>
        <v>1678.7703333333332</v>
      </c>
      <c r="S54" s="978"/>
      <c r="T54" s="979" t="s">
        <v>332</v>
      </c>
      <c r="U54" s="979"/>
      <c r="V54" s="979"/>
      <c r="W54" s="979"/>
      <c r="X54" s="310"/>
      <c r="Y54" s="981" t="s">
        <v>413</v>
      </c>
      <c r="Z54" s="981"/>
      <c r="AA54" s="981"/>
      <c r="AB54" s="981"/>
      <c r="AC54" s="981"/>
      <c r="AD54" s="936"/>
      <c r="AE54" s="936"/>
      <c r="AF54" s="936"/>
      <c r="AG54" s="1"/>
      <c r="AH54" s="1"/>
      <c r="AI54" s="1"/>
      <c r="AJ54" s="1"/>
      <c r="AK54" s="1"/>
      <c r="AL54" s="1"/>
    </row>
    <row r="55" spans="1:38" ht="19.899999999999999" customHeight="1">
      <c r="A55" s="1"/>
      <c r="B55" s="982"/>
      <c r="C55" s="982"/>
      <c r="D55" s="982"/>
      <c r="E55" s="937" t="s">
        <v>409</v>
      </c>
      <c r="F55" s="938"/>
      <c r="G55" s="309"/>
      <c r="H55" s="502"/>
      <c r="I55" s="503"/>
      <c r="J55" s="503"/>
      <c r="K55" s="503"/>
      <c r="L55" s="504"/>
      <c r="M55" s="15"/>
      <c r="N55" s="977" t="s">
        <v>414</v>
      </c>
      <c r="O55" s="977"/>
      <c r="P55" s="977"/>
      <c r="Q55" s="977"/>
      <c r="R55" s="984">
        <f>'INFORME MARSHALL'!F48</f>
        <v>3.5559999999999996</v>
      </c>
      <c r="S55" s="984"/>
      <c r="T55" s="980" t="s">
        <v>415</v>
      </c>
      <c r="U55" s="980"/>
      <c r="V55" s="980"/>
      <c r="W55" s="980"/>
      <c r="X55" s="310"/>
      <c r="Y55" s="981" t="s">
        <v>416</v>
      </c>
      <c r="Z55" s="981"/>
      <c r="AA55" s="981"/>
      <c r="AB55" s="981"/>
      <c r="AC55" s="981"/>
      <c r="AD55" s="936"/>
      <c r="AE55" s="936"/>
      <c r="AF55" s="936"/>
      <c r="AG55" s="1"/>
      <c r="AH55" s="1"/>
      <c r="AI55" s="1"/>
      <c r="AJ55" s="1"/>
      <c r="AK55" s="1"/>
      <c r="AL55" s="1"/>
    </row>
    <row r="56" spans="1:38" ht="19.899999999999999" customHeight="1">
      <c r="A56" s="1"/>
      <c r="B56" s="982"/>
      <c r="C56" s="982"/>
      <c r="D56" s="982"/>
      <c r="E56" s="937" t="s">
        <v>417</v>
      </c>
      <c r="F56" s="938"/>
      <c r="G56" s="309"/>
      <c r="H56" s="502"/>
      <c r="I56" s="503"/>
      <c r="J56" s="503"/>
      <c r="K56" s="503"/>
      <c r="L56" s="504"/>
      <c r="M56" s="15"/>
      <c r="N56" s="977" t="s">
        <v>263</v>
      </c>
      <c r="O56" s="977"/>
      <c r="P56" s="977"/>
      <c r="Q56" s="977"/>
      <c r="R56" s="984">
        <f>'INFORME MARSHALL'!F45</f>
        <v>3.4929658216538022</v>
      </c>
      <c r="S56" s="984"/>
      <c r="T56" s="980" t="s">
        <v>418</v>
      </c>
      <c r="U56" s="980"/>
      <c r="V56" s="980"/>
      <c r="W56" s="980"/>
      <c r="X56" s="310"/>
      <c r="Y56" s="988" t="s">
        <v>419</v>
      </c>
      <c r="Z56" s="989"/>
      <c r="AA56" s="989"/>
      <c r="AB56" s="989"/>
      <c r="AC56" s="990"/>
      <c r="AD56" s="959" t="s">
        <v>466</v>
      </c>
      <c r="AE56" s="960"/>
      <c r="AF56" s="961"/>
      <c r="AG56" s="1"/>
      <c r="AH56" s="1"/>
      <c r="AI56" s="1"/>
      <c r="AJ56" s="1"/>
      <c r="AK56" s="1"/>
      <c r="AL56" s="1"/>
    </row>
    <row r="57" spans="1:38" ht="19.899999999999999" customHeight="1">
      <c r="A57" s="1"/>
      <c r="B57" s="937" t="s">
        <v>420</v>
      </c>
      <c r="C57" s="950"/>
      <c r="D57" s="950"/>
      <c r="E57" s="950"/>
      <c r="F57" s="938"/>
      <c r="G57" s="502" t="s">
        <v>421</v>
      </c>
      <c r="H57" s="503"/>
      <c r="I57" s="503"/>
      <c r="J57" s="503"/>
      <c r="K57" s="503"/>
      <c r="L57" s="504"/>
      <c r="M57" s="15"/>
      <c r="N57" s="977" t="s">
        <v>422</v>
      </c>
      <c r="O57" s="977"/>
      <c r="P57" s="977"/>
      <c r="Q57" s="977"/>
      <c r="R57" s="984">
        <f>'INFORME MARSHALL'!F46</f>
        <v>14.05472255718899</v>
      </c>
      <c r="S57" s="984"/>
      <c r="T57" s="979" t="s">
        <v>423</v>
      </c>
      <c r="U57" s="979"/>
      <c r="V57" s="979"/>
      <c r="W57" s="979"/>
      <c r="X57" s="310"/>
      <c r="Y57" s="991"/>
      <c r="Z57" s="992"/>
      <c r="AA57" s="992"/>
      <c r="AB57" s="992"/>
      <c r="AC57" s="993"/>
      <c r="AD57" s="962"/>
      <c r="AE57" s="488"/>
      <c r="AF57" s="963"/>
      <c r="AG57" s="1"/>
      <c r="AH57" s="1"/>
      <c r="AI57" s="1"/>
      <c r="AJ57" s="1"/>
      <c r="AK57" s="1"/>
      <c r="AL57" s="1"/>
    </row>
    <row r="58" spans="1:38" ht="7.9" customHeight="1">
      <c r="A58" s="1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6"/>
      <c r="AG58" s="1"/>
      <c r="AH58" s="1"/>
      <c r="AI58" s="1"/>
      <c r="AJ58" s="1"/>
      <c r="AK58" s="1"/>
      <c r="AL58" s="1"/>
    </row>
    <row r="59" spans="1:38" ht="7.9" customHeight="1">
      <c r="A59" s="1"/>
      <c r="B59" s="18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317"/>
      <c r="AC59" s="16"/>
      <c r="AD59" s="16"/>
      <c r="AE59" s="16"/>
      <c r="AF59" s="11"/>
      <c r="AG59" s="1"/>
      <c r="AH59" s="1"/>
      <c r="AI59" s="1"/>
      <c r="AJ59" s="1"/>
      <c r="AK59" s="1"/>
      <c r="AL59" s="1"/>
    </row>
    <row r="60" spans="1:38" ht="23.45" customHeight="1">
      <c r="A60" s="1"/>
      <c r="B60" s="985" t="s">
        <v>424</v>
      </c>
      <c r="C60" s="986"/>
      <c r="D60" s="986"/>
      <c r="E60" s="986"/>
      <c r="F60" s="986"/>
      <c r="G60" s="986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312"/>
      <c r="U60" s="15"/>
      <c r="V60" s="15"/>
      <c r="W60" s="15"/>
      <c r="X60" s="15"/>
      <c r="Y60" s="15"/>
      <c r="Z60" s="15"/>
      <c r="AA60" s="15"/>
      <c r="AB60" s="57">
        <f>((R53*0.95*G53)/(100+G53))</f>
        <v>107.44785273884723</v>
      </c>
      <c r="AC60" s="15"/>
      <c r="AD60" s="15"/>
      <c r="AE60" s="15"/>
      <c r="AF60" s="6"/>
      <c r="AG60" s="1"/>
      <c r="AH60" s="1"/>
      <c r="AI60" s="1"/>
      <c r="AJ60" s="1"/>
      <c r="AK60" s="1"/>
      <c r="AL60" s="1"/>
    </row>
    <row r="61" spans="1:38" ht="23.45" customHeight="1">
      <c r="A61" s="1"/>
      <c r="B61" s="313"/>
      <c r="C61" s="314"/>
      <c r="D61" s="314"/>
      <c r="E61" s="314"/>
      <c r="F61" s="314"/>
      <c r="G61" s="3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312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6"/>
      <c r="AG61" s="1"/>
      <c r="AH61" s="1"/>
      <c r="AI61" s="1"/>
      <c r="AJ61" s="1"/>
      <c r="AK61" s="1"/>
      <c r="AL61" s="1"/>
    </row>
    <row r="62" spans="1:38" ht="23.45" customHeight="1">
      <c r="A62" s="1"/>
      <c r="B62" s="313"/>
      <c r="C62" s="314"/>
      <c r="D62" s="314"/>
      <c r="E62" s="314"/>
      <c r="F62" s="314"/>
      <c r="G62" s="3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312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6"/>
      <c r="AG62" s="1"/>
      <c r="AH62" s="1"/>
      <c r="AI62" s="1"/>
      <c r="AJ62" s="1"/>
      <c r="AK62" s="1"/>
      <c r="AL62" s="1"/>
    </row>
    <row r="63" spans="1:38" ht="20.45" customHeight="1">
      <c r="A63" s="1"/>
      <c r="B63" s="1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9"/>
      <c r="AG63" s="1"/>
      <c r="AH63" s="1"/>
      <c r="AI63" s="1"/>
      <c r="AJ63" s="1"/>
      <c r="AK63" s="1"/>
      <c r="AL63" s="1"/>
    </row>
    <row r="64" spans="1:38" ht="7.15" customHeight="1">
      <c r="A64" s="1"/>
      <c r="B64" s="1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6"/>
      <c r="AG64" s="1"/>
      <c r="AH64" s="1"/>
      <c r="AI64" s="1"/>
      <c r="AJ64" s="1"/>
      <c r="AK64" s="1"/>
      <c r="AL64" s="1"/>
    </row>
    <row r="65" spans="1:38" ht="17.45" customHeight="1">
      <c r="A65" s="1"/>
      <c r="B65" s="18"/>
      <c r="C65" s="20"/>
      <c r="D65" s="20"/>
      <c r="E65" s="20"/>
      <c r="F65" s="20"/>
      <c r="G65" s="22"/>
      <c r="H65" s="21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1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11"/>
      <c r="AG65" s="1"/>
      <c r="AH65" s="1"/>
      <c r="AI65" s="1"/>
      <c r="AJ65" s="1"/>
      <c r="AK65" s="1"/>
      <c r="AL65" s="1"/>
    </row>
    <row r="66" spans="1:38" ht="17.45" customHeight="1">
      <c r="A66" s="1"/>
      <c r="B66" s="14"/>
      <c r="C66" s="19"/>
      <c r="D66" s="15" t="s">
        <v>11</v>
      </c>
      <c r="E66" s="19"/>
      <c r="F66" s="19"/>
      <c r="G66" s="315"/>
      <c r="H66" s="23"/>
      <c r="I66" s="19"/>
      <c r="J66" s="19"/>
      <c r="K66" s="19"/>
      <c r="L66" s="24" t="s">
        <v>12</v>
      </c>
      <c r="M66" s="19"/>
      <c r="N66" s="19"/>
      <c r="O66" s="19"/>
      <c r="P66" s="19"/>
      <c r="Q66" s="19"/>
      <c r="R66" s="19"/>
      <c r="S66" s="19"/>
      <c r="T66" s="23"/>
      <c r="U66" s="987" t="str">
        <f>'INFORME MARSHALL'!F63</f>
        <v>Vo. Bo.</v>
      </c>
      <c r="V66" s="987"/>
      <c r="W66" s="987"/>
      <c r="X66" s="987"/>
      <c r="Y66" s="987"/>
      <c r="Z66" s="987"/>
      <c r="AA66" s="987"/>
      <c r="AB66" s="987"/>
      <c r="AC66" s="987"/>
      <c r="AD66" s="987"/>
      <c r="AE66" s="987"/>
      <c r="AF66" s="6"/>
      <c r="AG66" s="1"/>
      <c r="AH66" s="1"/>
      <c r="AI66" s="1"/>
      <c r="AJ66" s="1"/>
      <c r="AK66" s="1"/>
      <c r="AL66" s="1"/>
    </row>
    <row r="67" spans="1:38" ht="51" customHeight="1">
      <c r="A67" s="1"/>
      <c r="B67" s="25"/>
      <c r="C67" s="24"/>
      <c r="D67" s="24"/>
      <c r="E67" s="24"/>
      <c r="F67" s="24"/>
      <c r="G67" s="27"/>
      <c r="H67" s="26"/>
      <c r="I67" s="24"/>
      <c r="J67" s="24"/>
      <c r="K67" s="24"/>
      <c r="L67" s="24"/>
      <c r="M67" s="24"/>
      <c r="N67" s="24"/>
      <c r="O67" s="19"/>
      <c r="P67" s="19"/>
      <c r="Q67" s="19"/>
      <c r="R67" s="17"/>
      <c r="S67" s="17"/>
      <c r="T67" s="23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9"/>
      <c r="AF67" s="6"/>
      <c r="AG67" s="1"/>
      <c r="AH67" s="1"/>
      <c r="AI67" s="1"/>
      <c r="AJ67" s="1"/>
      <c r="AK67" s="1"/>
      <c r="AL67" s="1"/>
    </row>
    <row r="68" spans="1:38" ht="22.9" customHeight="1">
      <c r="A68" s="1"/>
      <c r="B68" s="513" t="str">
        <f>'INFORME MARSHALL'!A65</f>
        <v>C. JULIO CESAR GARCIA RODRIGUEZ</v>
      </c>
      <c r="C68" s="514"/>
      <c r="D68" s="514"/>
      <c r="E68" s="514"/>
      <c r="F68" s="514"/>
      <c r="G68" s="515"/>
      <c r="H68" s="513" t="str">
        <f>'INFORME MARSHALL'!C65</f>
        <v>ING. JOSE LUIS TAMAYO AMAYA</v>
      </c>
      <c r="I68" s="514"/>
      <c r="J68" s="514"/>
      <c r="K68" s="514"/>
      <c r="L68" s="514"/>
      <c r="M68" s="514"/>
      <c r="N68" s="514"/>
      <c r="O68" s="514"/>
      <c r="P68" s="514"/>
      <c r="Q68" s="514"/>
      <c r="R68" s="514"/>
      <c r="S68" s="19"/>
      <c r="T68" s="534" t="str">
        <f>'INFORME MARSHALL'!F65</f>
        <v>ARQ. CARLOS G. TAMAYO AMAYA</v>
      </c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6"/>
      <c r="AG68" s="1"/>
      <c r="AH68" s="1"/>
      <c r="AI68" s="1"/>
      <c r="AJ68" s="1"/>
      <c r="AK68" s="1"/>
      <c r="AL68" s="1"/>
    </row>
    <row r="69" spans="1:38" ht="6.6" customHeight="1">
      <c r="A69" s="1"/>
      <c r="B69" s="13"/>
      <c r="C69" s="28"/>
      <c r="D69" s="28"/>
      <c r="E69" s="28"/>
      <c r="F69" s="28"/>
      <c r="G69" s="30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9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6"/>
      <c r="AG69" s="1"/>
      <c r="AH69" s="1"/>
      <c r="AI69" s="1"/>
      <c r="AJ69" s="1"/>
      <c r="AK69" s="1"/>
      <c r="AL69" s="1"/>
    </row>
    <row r="70" spans="1:38" ht="5.45" customHeight="1">
      <c r="A70" s="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16"/>
      <c r="AG70" s="1"/>
      <c r="AH70" s="1"/>
      <c r="AI70" s="1"/>
      <c r="AJ70" s="1"/>
      <c r="AK70" s="1"/>
      <c r="AL70" s="1"/>
    </row>
    <row r="71" spans="1:38" ht="16.149999999999999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983" t="s">
        <v>13</v>
      </c>
      <c r="AC71" s="983"/>
      <c r="AD71" s="983"/>
      <c r="AE71" s="983"/>
      <c r="AF71" s="512"/>
      <c r="AG71" s="1"/>
      <c r="AH71" s="1"/>
      <c r="AI71" s="1"/>
      <c r="AJ71" s="1"/>
      <c r="AK71" s="1"/>
      <c r="AL71" s="1"/>
    </row>
    <row r="72" spans="1:38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3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</sheetData>
  <mergeCells count="118">
    <mergeCell ref="AB71:AF71"/>
    <mergeCell ref="X4:AF5"/>
    <mergeCell ref="N57:Q57"/>
    <mergeCell ref="R57:S57"/>
    <mergeCell ref="T57:W57"/>
    <mergeCell ref="B60:G60"/>
    <mergeCell ref="U66:AE66"/>
    <mergeCell ref="B68:G68"/>
    <mergeCell ref="H68:R68"/>
    <mergeCell ref="T68:AE68"/>
    <mergeCell ref="AD55:AF55"/>
    <mergeCell ref="E56:F56"/>
    <mergeCell ref="H56:L56"/>
    <mergeCell ref="N56:Q56"/>
    <mergeCell ref="R56:S56"/>
    <mergeCell ref="T56:W56"/>
    <mergeCell ref="Y56:AC57"/>
    <mergeCell ref="AD56:AF57"/>
    <mergeCell ref="B57:F57"/>
    <mergeCell ref="G57:L57"/>
    <mergeCell ref="E55:F55"/>
    <mergeCell ref="H55:L55"/>
    <mergeCell ref="N55:Q55"/>
    <mergeCell ref="R55:S55"/>
    <mergeCell ref="T55:W55"/>
    <mergeCell ref="Y55:AC55"/>
    <mergeCell ref="Y53:AC53"/>
    <mergeCell ref="AD53:AF53"/>
    <mergeCell ref="B54:D56"/>
    <mergeCell ref="E54:F54"/>
    <mergeCell ref="H54:L54"/>
    <mergeCell ref="N54:Q54"/>
    <mergeCell ref="R54:S54"/>
    <mergeCell ref="T54:W54"/>
    <mergeCell ref="Y54:AC54"/>
    <mergeCell ref="AD54:AF54"/>
    <mergeCell ref="B52:G52"/>
    <mergeCell ref="H52:L52"/>
    <mergeCell ref="N52:S52"/>
    <mergeCell ref="T52:W52"/>
    <mergeCell ref="Y52:AF52"/>
    <mergeCell ref="B53:F53"/>
    <mergeCell ref="H53:L53"/>
    <mergeCell ref="N53:Q53"/>
    <mergeCell ref="R53:S53"/>
    <mergeCell ref="T53:W53"/>
    <mergeCell ref="C47:F48"/>
    <mergeCell ref="G47:G48"/>
    <mergeCell ref="H47:L48"/>
    <mergeCell ref="C49:F50"/>
    <mergeCell ref="G49:G50"/>
    <mergeCell ref="H49:L50"/>
    <mergeCell ref="C44:F44"/>
    <mergeCell ref="H44:L44"/>
    <mergeCell ref="C45:F45"/>
    <mergeCell ref="H45:L45"/>
    <mergeCell ref="C46:F46"/>
    <mergeCell ref="H46:L46"/>
    <mergeCell ref="E41:F41"/>
    <mergeCell ref="H41:L41"/>
    <mergeCell ref="E42:F42"/>
    <mergeCell ref="H42:L42"/>
    <mergeCell ref="C43:F43"/>
    <mergeCell ref="H43:L43"/>
    <mergeCell ref="E38:F38"/>
    <mergeCell ref="H38:L38"/>
    <mergeCell ref="E39:F39"/>
    <mergeCell ref="H39:L39"/>
    <mergeCell ref="E40:F40"/>
    <mergeCell ref="H40:L40"/>
    <mergeCell ref="T25:W25"/>
    <mergeCell ref="X25:AD25"/>
    <mergeCell ref="B28:B50"/>
    <mergeCell ref="C28:G28"/>
    <mergeCell ref="H28:L28"/>
    <mergeCell ref="C29:L29"/>
    <mergeCell ref="N29:N48"/>
    <mergeCell ref="H34:L34"/>
    <mergeCell ref="E35:F35"/>
    <mergeCell ref="H35:L35"/>
    <mergeCell ref="E36:F36"/>
    <mergeCell ref="H36:L36"/>
    <mergeCell ref="E37:F37"/>
    <mergeCell ref="H37:L37"/>
    <mergeCell ref="C30:D42"/>
    <mergeCell ref="E30:F30"/>
    <mergeCell ref="H30:L30"/>
    <mergeCell ref="E31:F31"/>
    <mergeCell ref="H31:L31"/>
    <mergeCell ref="E32:F32"/>
    <mergeCell ref="H32:L32"/>
    <mergeCell ref="E33:F33"/>
    <mergeCell ref="H33:L33"/>
    <mergeCell ref="E34:F34"/>
    <mergeCell ref="O28:AE28"/>
    <mergeCell ref="H17:N17"/>
    <mergeCell ref="O17:W17"/>
    <mergeCell ref="B6:AF6"/>
    <mergeCell ref="B7:AF7"/>
    <mergeCell ref="B9:E14"/>
    <mergeCell ref="F9:S14"/>
    <mergeCell ref="V10:AE10"/>
    <mergeCell ref="Y11:AE11"/>
    <mergeCell ref="W12:AE12"/>
    <mergeCell ref="B24:D24"/>
    <mergeCell ref="E24:F24"/>
    <mergeCell ref="I24:L24"/>
    <mergeCell ref="O24:Q24"/>
    <mergeCell ref="S24:X24"/>
    <mergeCell ref="AA24:AE24"/>
    <mergeCell ref="B17:D20"/>
    <mergeCell ref="AC17:AE17"/>
    <mergeCell ref="K18:AE18"/>
    <mergeCell ref="J19:AE19"/>
    <mergeCell ref="Q20:AE20"/>
    <mergeCell ref="B25:G25"/>
    <mergeCell ref="H25:P25"/>
    <mergeCell ref="Q25:S25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" zoomScaleNormal="100" workbookViewId="0">
      <selection activeCell="E15" sqref="E15"/>
    </sheetView>
  </sheetViews>
  <sheetFormatPr baseColWidth="10" defaultRowHeight="12"/>
  <cols>
    <col min="1" max="11" width="11.42578125" style="64"/>
    <col min="12" max="12" width="27.7109375" style="64" customWidth="1"/>
    <col min="13" max="16384" width="11.42578125" style="64"/>
  </cols>
  <sheetData>
    <row r="1" spans="1:8" ht="12" customHeight="1">
      <c r="A1" s="408" t="s">
        <v>56</v>
      </c>
      <c r="B1" s="409"/>
      <c r="C1" s="409"/>
      <c r="D1" s="409"/>
      <c r="E1" s="409"/>
      <c r="F1" s="410"/>
      <c r="G1" s="411"/>
      <c r="H1" s="412"/>
    </row>
    <row r="2" spans="1:8" ht="12" customHeight="1">
      <c r="A2" s="413" t="s">
        <v>14</v>
      </c>
      <c r="B2" s="414" t="str">
        <f>'CALCULO SELLO CALIZO'!B2:F3</f>
        <v>SAN LUIS DEL CORDERO - SAN PEDRO DEL GALLO</v>
      </c>
      <c r="C2" s="414"/>
      <c r="D2" s="414"/>
      <c r="E2" s="414"/>
      <c r="F2" s="414"/>
      <c r="G2" s="65" t="s">
        <v>34</v>
      </c>
      <c r="H2" s="66">
        <f>'CALCULO SELLO CALIZO'!H2+1</f>
        <v>633</v>
      </c>
    </row>
    <row r="3" spans="1:8">
      <c r="A3" s="413"/>
      <c r="B3" s="414"/>
      <c r="C3" s="414"/>
      <c r="D3" s="414"/>
      <c r="E3" s="414"/>
      <c r="F3" s="414"/>
      <c r="G3" s="67" t="s">
        <v>1</v>
      </c>
      <c r="H3" s="68">
        <f>'CALCULO SELLO CALIZO'!H3</f>
        <v>42341</v>
      </c>
    </row>
    <row r="4" spans="1:8">
      <c r="A4" s="65" t="s">
        <v>57</v>
      </c>
      <c r="B4" s="391" t="str">
        <f>'CALCULO SELLO CALIZO'!B4:F4</f>
        <v>EN BANCO</v>
      </c>
      <c r="C4" s="392"/>
      <c r="D4" s="392"/>
      <c r="E4" s="392"/>
      <c r="F4" s="393"/>
      <c r="G4" s="67" t="s">
        <v>58</v>
      </c>
      <c r="H4" s="69">
        <f>'CALCULO SELLO CALIZO'!H4</f>
        <v>42345</v>
      </c>
    </row>
    <row r="5" spans="1:8">
      <c r="A5" s="394" t="s">
        <v>5</v>
      </c>
      <c r="B5" s="395"/>
      <c r="C5" s="396" t="str">
        <f>'CALCULO SELLO CALIZO'!C5:F5</f>
        <v>MICROCARPETA T.M. 13 MM EN CALIENTE</v>
      </c>
      <c r="D5" s="397"/>
      <c r="E5" s="397"/>
      <c r="F5" s="398"/>
      <c r="G5" s="65"/>
      <c r="H5" s="65"/>
    </row>
    <row r="6" spans="1:8">
      <c r="A6" s="399" t="s">
        <v>59</v>
      </c>
      <c r="B6" s="399"/>
      <c r="C6" s="399"/>
      <c r="D6" s="399"/>
      <c r="E6" s="399"/>
      <c r="F6" s="399"/>
      <c r="G6" s="399"/>
      <c r="H6" s="399"/>
    </row>
    <row r="7" spans="1:8" ht="36">
      <c r="A7" s="70" t="s">
        <v>60</v>
      </c>
      <c r="B7" s="70" t="s">
        <v>61</v>
      </c>
      <c r="C7" s="71" t="s">
        <v>62</v>
      </c>
      <c r="D7" s="71" t="s">
        <v>63</v>
      </c>
      <c r="E7" s="71" t="s">
        <v>64</v>
      </c>
      <c r="F7" s="71" t="s">
        <v>65</v>
      </c>
      <c r="G7" s="415" t="s">
        <v>66</v>
      </c>
      <c r="H7" s="416"/>
    </row>
    <row r="8" spans="1:8">
      <c r="A8" s="137" t="s">
        <v>67</v>
      </c>
      <c r="B8" s="137" t="s">
        <v>68</v>
      </c>
      <c r="C8" s="137" t="s">
        <v>68</v>
      </c>
      <c r="D8" s="137" t="s">
        <v>69</v>
      </c>
      <c r="E8" s="137" t="s">
        <v>70</v>
      </c>
      <c r="F8" s="137" t="s">
        <v>70</v>
      </c>
      <c r="G8" s="73" t="s">
        <v>71</v>
      </c>
      <c r="H8" s="74">
        <v>2704</v>
      </c>
    </row>
    <row r="9" spans="1:8">
      <c r="A9" s="137" t="s">
        <v>72</v>
      </c>
      <c r="B9" s="137">
        <v>63.1</v>
      </c>
      <c r="C9" s="137"/>
      <c r="D9" s="75">
        <v>0</v>
      </c>
      <c r="E9" s="76">
        <f>D9/D25*100</f>
        <v>0</v>
      </c>
      <c r="F9" s="76">
        <f>100-E9</f>
        <v>100</v>
      </c>
      <c r="G9" s="73" t="s">
        <v>73</v>
      </c>
      <c r="H9" s="74">
        <v>1686</v>
      </c>
    </row>
    <row r="10" spans="1:8">
      <c r="A10" s="137" t="s">
        <v>74</v>
      </c>
      <c r="B10" s="137">
        <v>50</v>
      </c>
      <c r="C10" s="137"/>
      <c r="D10" s="75">
        <v>0</v>
      </c>
      <c r="E10" s="76">
        <f>D10/D25*100</f>
        <v>0</v>
      </c>
      <c r="F10" s="76">
        <f>F9-E10</f>
        <v>100</v>
      </c>
      <c r="G10" s="73" t="s">
        <v>75</v>
      </c>
      <c r="H10" s="74">
        <v>5075.6000000000004</v>
      </c>
    </row>
    <row r="11" spans="1:8">
      <c r="A11" s="77" t="s">
        <v>76</v>
      </c>
      <c r="B11" s="137">
        <v>36.1</v>
      </c>
      <c r="C11" s="137"/>
      <c r="D11" s="75">
        <v>0</v>
      </c>
      <c r="E11" s="76">
        <f>D11/D25*100</f>
        <v>0</v>
      </c>
      <c r="F11" s="76">
        <f t="shared" ref="F11:F23" si="0">F10-E11</f>
        <v>100</v>
      </c>
      <c r="G11" s="111" t="s">
        <v>77</v>
      </c>
      <c r="H11" s="112">
        <f>D25/H8*1000</f>
        <v>1253.5502958579882</v>
      </c>
    </row>
    <row r="12" spans="1:8">
      <c r="A12" s="77" t="s">
        <v>78</v>
      </c>
      <c r="B12" s="137">
        <v>25.4</v>
      </c>
      <c r="C12" s="137"/>
      <c r="D12" s="75">
        <v>0</v>
      </c>
      <c r="E12" s="76">
        <f>D12/D25*100</f>
        <v>0</v>
      </c>
      <c r="F12" s="76">
        <f t="shared" si="0"/>
        <v>100</v>
      </c>
      <c r="G12" s="435" t="s">
        <v>454</v>
      </c>
      <c r="H12" s="436"/>
    </row>
    <row r="13" spans="1:8">
      <c r="A13" s="77" t="s">
        <v>79</v>
      </c>
      <c r="B13" s="70">
        <v>19.05</v>
      </c>
      <c r="C13" s="137"/>
      <c r="D13" s="75">
        <v>0</v>
      </c>
      <c r="E13" s="76">
        <f>D13/D25*100</f>
        <v>0</v>
      </c>
      <c r="F13" s="76">
        <f t="shared" si="0"/>
        <v>100</v>
      </c>
      <c r="G13" s="435"/>
      <c r="H13" s="436"/>
    </row>
    <row r="14" spans="1:8">
      <c r="A14" s="77" t="s">
        <v>80</v>
      </c>
      <c r="B14" s="71">
        <v>12.7</v>
      </c>
      <c r="C14" s="137"/>
      <c r="D14" s="75">
        <v>0</v>
      </c>
      <c r="E14" s="76">
        <f>D14/D25*100</f>
        <v>0</v>
      </c>
      <c r="F14" s="76">
        <f t="shared" si="0"/>
        <v>100</v>
      </c>
      <c r="G14" s="435"/>
      <c r="H14" s="436"/>
    </row>
    <row r="15" spans="1:8">
      <c r="A15" s="77" t="s">
        <v>81</v>
      </c>
      <c r="B15" s="71">
        <v>9.52</v>
      </c>
      <c r="C15" s="137"/>
      <c r="D15" s="75">
        <v>47.1</v>
      </c>
      <c r="E15" s="76">
        <f>D15/D25*100</f>
        <v>1.3895444890252537</v>
      </c>
      <c r="F15" s="76">
        <f t="shared" si="0"/>
        <v>98.610455510974745</v>
      </c>
      <c r="G15" s="435"/>
      <c r="H15" s="436"/>
    </row>
    <row r="16" spans="1:8">
      <c r="A16" s="77" t="s">
        <v>82</v>
      </c>
      <c r="B16" s="71">
        <v>6.3</v>
      </c>
      <c r="C16" s="137"/>
      <c r="D16" s="75">
        <v>2039.6</v>
      </c>
      <c r="E16" s="76">
        <f>D16/D25*100</f>
        <v>60.172291715836664</v>
      </c>
      <c r="F16" s="76">
        <f t="shared" si="0"/>
        <v>38.438163795138081</v>
      </c>
      <c r="G16" s="435"/>
      <c r="H16" s="436"/>
    </row>
    <row r="17" spans="1:10">
      <c r="A17" s="77" t="s">
        <v>25</v>
      </c>
      <c r="B17" s="80">
        <v>4.75</v>
      </c>
      <c r="C17" s="137"/>
      <c r="D17" s="75">
        <v>921.5</v>
      </c>
      <c r="E17" s="76">
        <f>D17/D25*100</f>
        <v>27.18609865470852</v>
      </c>
      <c r="F17" s="76">
        <f t="shared" si="0"/>
        <v>11.252065140429561</v>
      </c>
      <c r="G17" s="435"/>
      <c r="H17" s="436"/>
    </row>
    <row r="18" spans="1:10">
      <c r="A18" s="77" t="s">
        <v>83</v>
      </c>
      <c r="B18" s="81">
        <v>2.36</v>
      </c>
      <c r="C18" s="137"/>
      <c r="D18" s="75">
        <v>338.4</v>
      </c>
      <c r="E18" s="76">
        <f>D18/D25*100</f>
        <v>9.9834788765636056</v>
      </c>
      <c r="F18" s="76">
        <f t="shared" si="0"/>
        <v>1.2685862638659557</v>
      </c>
      <c r="G18" s="435"/>
      <c r="H18" s="436"/>
    </row>
    <row r="19" spans="1:10">
      <c r="A19" s="77" t="s">
        <v>84</v>
      </c>
      <c r="B19" s="81">
        <v>1.18</v>
      </c>
      <c r="C19" s="137"/>
      <c r="D19" s="75">
        <v>10.8</v>
      </c>
      <c r="E19" s="76">
        <f>D19/D25*100</f>
        <v>0.31862166627330657</v>
      </c>
      <c r="F19" s="76">
        <f t="shared" si="0"/>
        <v>0.94996459759264917</v>
      </c>
      <c r="G19" s="435"/>
      <c r="H19" s="436"/>
    </row>
    <row r="20" spans="1:10">
      <c r="A20" s="77" t="s">
        <v>28</v>
      </c>
      <c r="B20" s="81">
        <v>0.6</v>
      </c>
      <c r="C20" s="137"/>
      <c r="D20" s="75">
        <v>24</v>
      </c>
      <c r="E20" s="76">
        <f>D20/D25*100</f>
        <v>0.70804814727401455</v>
      </c>
      <c r="F20" s="76">
        <f t="shared" si="0"/>
        <v>0.24191645031863462</v>
      </c>
      <c r="G20" s="435"/>
      <c r="H20" s="436"/>
    </row>
    <row r="21" spans="1:10">
      <c r="A21" s="77" t="s">
        <v>29</v>
      </c>
      <c r="B21" s="82">
        <v>0.3</v>
      </c>
      <c r="C21" s="137"/>
      <c r="D21" s="75">
        <v>0</v>
      </c>
      <c r="E21" s="76">
        <f>D21/D25*100</f>
        <v>0</v>
      </c>
      <c r="F21" s="76">
        <f t="shared" si="0"/>
        <v>0.24191645031863462</v>
      </c>
      <c r="G21" s="435"/>
      <c r="H21" s="436"/>
    </row>
    <row r="22" spans="1:10">
      <c r="A22" s="77" t="s">
        <v>30</v>
      </c>
      <c r="B22" s="83">
        <v>0.14899999999999999</v>
      </c>
      <c r="C22" s="137"/>
      <c r="D22" s="75">
        <v>0</v>
      </c>
      <c r="E22" s="76">
        <f>D22/D25*100</f>
        <v>0</v>
      </c>
      <c r="F22" s="76">
        <f t="shared" si="0"/>
        <v>0.24191645031863462</v>
      </c>
      <c r="G22" s="437"/>
      <c r="H22" s="438"/>
    </row>
    <row r="23" spans="1:10">
      <c r="A23" s="77" t="s">
        <v>31</v>
      </c>
      <c r="B23" s="83">
        <v>7.3999999999999996E-2</v>
      </c>
      <c r="C23" s="137"/>
      <c r="D23" s="75">
        <v>0</v>
      </c>
      <c r="E23" s="76">
        <f>D23/D25*100</f>
        <v>0</v>
      </c>
      <c r="F23" s="76">
        <f t="shared" si="0"/>
        <v>0.24191645031863462</v>
      </c>
      <c r="G23" s="400" t="s">
        <v>85</v>
      </c>
      <c r="H23" s="400"/>
    </row>
    <row r="24" spans="1:10">
      <c r="A24" s="77" t="s">
        <v>86</v>
      </c>
      <c r="B24" s="80" t="s">
        <v>87</v>
      </c>
      <c r="C24" s="137"/>
      <c r="D24" s="84">
        <f>(D25-(SUM(D11:D23)))</f>
        <v>8.2000000000002728</v>
      </c>
      <c r="E24" s="76">
        <f>D24/D25*100</f>
        <v>0.24191645031862971</v>
      </c>
      <c r="F24" s="76">
        <f>F23-E24</f>
        <v>4.9127368839663177E-15</v>
      </c>
      <c r="G24" s="400"/>
      <c r="H24" s="400"/>
    </row>
    <row r="25" spans="1:10">
      <c r="A25" s="77" t="s">
        <v>88</v>
      </c>
      <c r="B25" s="85" t="s">
        <v>87</v>
      </c>
      <c r="C25" s="137"/>
      <c r="D25" s="86">
        <f>H10-H9</f>
        <v>3389.6000000000004</v>
      </c>
      <c r="E25" s="76"/>
      <c r="F25" s="76"/>
      <c r="G25" s="400"/>
      <c r="H25" s="400"/>
    </row>
    <row r="26" spans="1:10">
      <c r="A26" s="401" t="s">
        <v>89</v>
      </c>
      <c r="B26" s="402"/>
      <c r="C26" s="402"/>
      <c r="D26" s="402"/>
      <c r="E26" s="402"/>
      <c r="F26" s="402"/>
      <c r="G26" s="87" t="s">
        <v>90</v>
      </c>
      <c r="H26" s="403">
        <v>0</v>
      </c>
      <c r="J26" s="75">
        <v>489.7</v>
      </c>
    </row>
    <row r="27" spans="1:10" ht="12.75" customHeight="1">
      <c r="A27" s="406" t="s">
        <v>91</v>
      </c>
      <c r="B27" s="407"/>
      <c r="C27" s="407"/>
      <c r="D27" s="407"/>
      <c r="E27" s="407"/>
      <c r="F27" s="88" t="s">
        <v>92</v>
      </c>
      <c r="G27" s="75">
        <v>539.6</v>
      </c>
      <c r="H27" s="404"/>
      <c r="J27" s="75">
        <v>319.39999999999998</v>
      </c>
    </row>
    <row r="28" spans="1:10" ht="12" customHeight="1">
      <c r="A28" s="406" t="s">
        <v>93</v>
      </c>
      <c r="B28" s="407"/>
      <c r="C28" s="407"/>
      <c r="D28" s="407"/>
      <c r="E28" s="407"/>
      <c r="F28" s="88" t="s">
        <v>94</v>
      </c>
      <c r="G28" s="75">
        <v>550</v>
      </c>
      <c r="H28" s="404"/>
      <c r="J28" s="75">
        <v>500.3</v>
      </c>
    </row>
    <row r="29" spans="1:10" ht="12.75" customHeight="1">
      <c r="A29" s="406" t="s">
        <v>95</v>
      </c>
      <c r="B29" s="407"/>
      <c r="C29" s="407"/>
      <c r="D29" s="407"/>
      <c r="E29" s="407"/>
      <c r="F29" s="88" t="s">
        <v>96</v>
      </c>
      <c r="G29" s="75">
        <v>328.5</v>
      </c>
      <c r="H29" s="404"/>
    </row>
    <row r="30" spans="1:10" ht="12" customHeight="1">
      <c r="A30" s="406" t="s">
        <v>97</v>
      </c>
      <c r="B30" s="407"/>
      <c r="C30" s="407"/>
      <c r="D30" s="407"/>
      <c r="E30" s="407"/>
      <c r="F30" s="89"/>
      <c r="G30" s="143">
        <f>G27/(G28-G29)</f>
        <v>2.4361173814898422</v>
      </c>
      <c r="H30" s="404"/>
    </row>
    <row r="31" spans="1:10" ht="12" customHeight="1">
      <c r="A31" s="406" t="s">
        <v>98</v>
      </c>
      <c r="B31" s="407"/>
      <c r="C31" s="407"/>
      <c r="D31" s="407"/>
      <c r="E31" s="407"/>
      <c r="F31" s="89"/>
      <c r="G31" s="90">
        <f>G28/(G28-G29)</f>
        <v>2.4830699774266365</v>
      </c>
      <c r="H31" s="404"/>
    </row>
    <row r="32" spans="1:10" ht="12" customHeight="1">
      <c r="A32" s="406" t="s">
        <v>99</v>
      </c>
      <c r="B32" s="407"/>
      <c r="C32" s="407"/>
      <c r="D32" s="407"/>
      <c r="E32" s="407"/>
      <c r="F32" s="89"/>
      <c r="G32" s="90">
        <f>G27/(G27-G29)</f>
        <v>2.5561345333964942</v>
      </c>
      <c r="H32" s="404"/>
    </row>
    <row r="33" spans="1:13">
      <c r="A33" s="406" t="s">
        <v>100</v>
      </c>
      <c r="B33" s="407"/>
      <c r="C33" s="407"/>
      <c r="D33" s="407"/>
      <c r="E33" s="407"/>
      <c r="F33" s="89"/>
      <c r="G33" s="143">
        <f>((G28-G27)/G27)*100</f>
        <v>1.9273535952557406</v>
      </c>
      <c r="H33" s="404"/>
    </row>
    <row r="34" spans="1:13">
      <c r="A34" s="417" t="s">
        <v>101</v>
      </c>
      <c r="B34" s="418"/>
      <c r="C34" s="418"/>
      <c r="D34" s="418"/>
      <c r="E34" s="418"/>
      <c r="F34" s="418"/>
      <c r="G34" s="91" t="s">
        <v>90</v>
      </c>
      <c r="H34" s="404"/>
    </row>
    <row r="35" spans="1:13" ht="12.75" customHeight="1">
      <c r="A35" s="406" t="s">
        <v>91</v>
      </c>
      <c r="B35" s="407"/>
      <c r="C35" s="407"/>
      <c r="D35" s="407"/>
      <c r="E35" s="407"/>
      <c r="F35" s="88" t="s">
        <v>92</v>
      </c>
      <c r="G35" s="75">
        <v>0</v>
      </c>
      <c r="H35" s="404"/>
    </row>
    <row r="36" spans="1:13" ht="12" customHeight="1">
      <c r="A36" s="406" t="s">
        <v>102</v>
      </c>
      <c r="B36" s="407"/>
      <c r="C36" s="407"/>
      <c r="D36" s="407"/>
      <c r="E36" s="407"/>
      <c r="F36" s="88" t="s">
        <v>94</v>
      </c>
      <c r="G36" s="75">
        <v>0</v>
      </c>
      <c r="H36" s="404"/>
    </row>
    <row r="37" spans="1:13" ht="12" customHeight="1">
      <c r="A37" s="406" t="s">
        <v>103</v>
      </c>
      <c r="B37" s="407"/>
      <c r="C37" s="407"/>
      <c r="D37" s="407"/>
      <c r="E37" s="407"/>
      <c r="F37" s="88" t="s">
        <v>96</v>
      </c>
      <c r="G37" s="75">
        <v>0</v>
      </c>
      <c r="H37" s="404"/>
    </row>
    <row r="38" spans="1:13" ht="12.75" customHeight="1">
      <c r="A38" s="406" t="s">
        <v>104</v>
      </c>
      <c r="B38" s="407"/>
      <c r="C38" s="407"/>
      <c r="D38" s="407"/>
      <c r="E38" s="407"/>
      <c r="F38" s="88" t="s">
        <v>105</v>
      </c>
      <c r="G38" s="75">
        <v>0</v>
      </c>
      <c r="H38" s="404"/>
    </row>
    <row r="39" spans="1:13" ht="12" customHeight="1">
      <c r="A39" s="406" t="s">
        <v>97</v>
      </c>
      <c r="B39" s="407"/>
      <c r="C39" s="407"/>
      <c r="D39" s="407"/>
      <c r="E39" s="407"/>
      <c r="F39" s="89"/>
      <c r="G39" s="90" t="e">
        <f>G35/(G36+G38-G37)</f>
        <v>#DIV/0!</v>
      </c>
      <c r="H39" s="404"/>
    </row>
    <row r="40" spans="1:13" ht="12" customHeight="1">
      <c r="A40" s="406" t="s">
        <v>98</v>
      </c>
      <c r="B40" s="407"/>
      <c r="C40" s="407"/>
      <c r="D40" s="407"/>
      <c r="E40" s="407"/>
      <c r="F40" s="89"/>
      <c r="G40" s="90" t="e">
        <f>G38/(G36+G38-G37)</f>
        <v>#DIV/0!</v>
      </c>
      <c r="H40" s="404"/>
    </row>
    <row r="41" spans="1:13" ht="12" customHeight="1">
      <c r="A41" s="406" t="s">
        <v>99</v>
      </c>
      <c r="B41" s="407"/>
      <c r="C41" s="407"/>
      <c r="D41" s="407"/>
      <c r="E41" s="407"/>
      <c r="F41" s="89"/>
      <c r="G41" s="90" t="e">
        <f>G35/((G36+G35)-G37)</f>
        <v>#DIV/0!</v>
      </c>
      <c r="H41" s="404"/>
    </row>
    <row r="42" spans="1:13" ht="12" customHeight="1">
      <c r="A42" s="406" t="s">
        <v>100</v>
      </c>
      <c r="B42" s="407"/>
      <c r="C42" s="407"/>
      <c r="D42" s="407"/>
      <c r="E42" s="407"/>
      <c r="F42" s="89"/>
      <c r="G42" s="90" t="e">
        <f>100*((G38-G35)/G35)</f>
        <v>#DIV/0!</v>
      </c>
      <c r="H42" s="405"/>
      <c r="J42" s="388" t="s">
        <v>38</v>
      </c>
      <c r="K42" s="389"/>
      <c r="L42" s="390"/>
      <c r="M42" s="118"/>
    </row>
    <row r="43" spans="1:13" ht="12" customHeight="1">
      <c r="A43" s="419" t="s">
        <v>106</v>
      </c>
      <c r="B43" s="419"/>
      <c r="C43" s="419"/>
      <c r="D43" s="419"/>
      <c r="E43" s="419"/>
      <c r="F43" s="419" t="s">
        <v>107</v>
      </c>
      <c r="G43" s="419"/>
      <c r="H43" s="419"/>
      <c r="J43" s="388" t="s">
        <v>45</v>
      </c>
      <c r="K43" s="389"/>
      <c r="L43" s="390"/>
      <c r="M43" s="118" t="s">
        <v>47</v>
      </c>
    </row>
    <row r="44" spans="1:13" ht="22.5">
      <c r="A44" s="420" t="s">
        <v>108</v>
      </c>
      <c r="B44" s="420" t="s">
        <v>109</v>
      </c>
      <c r="C44" s="422" t="s">
        <v>110</v>
      </c>
      <c r="D44" s="422"/>
      <c r="E44" s="138" t="s">
        <v>111</v>
      </c>
      <c r="F44" s="93" t="s">
        <v>112</v>
      </c>
      <c r="G44" s="421" t="s">
        <v>113</v>
      </c>
      <c r="H44" s="421"/>
      <c r="J44" s="388" t="s">
        <v>39</v>
      </c>
      <c r="K44" s="389"/>
      <c r="L44" s="390"/>
      <c r="M44" s="118">
        <v>2.4</v>
      </c>
    </row>
    <row r="45" spans="1:13" ht="24">
      <c r="A45" s="421"/>
      <c r="B45" s="421"/>
      <c r="C45" s="136" t="s">
        <v>114</v>
      </c>
      <c r="D45" s="136" t="s">
        <v>115</v>
      </c>
      <c r="E45" s="136" t="s">
        <v>114</v>
      </c>
      <c r="F45" s="95">
        <v>50</v>
      </c>
      <c r="G45" s="388"/>
      <c r="H45" s="390"/>
      <c r="J45" s="388" t="s">
        <v>40</v>
      </c>
      <c r="K45" s="389"/>
      <c r="L45" s="390"/>
      <c r="M45" s="118">
        <v>30</v>
      </c>
    </row>
    <row r="46" spans="1:13" ht="12" customHeight="1">
      <c r="A46" s="96" t="s">
        <v>168</v>
      </c>
      <c r="B46" s="113">
        <v>0</v>
      </c>
      <c r="C46" s="114">
        <v>0</v>
      </c>
      <c r="D46" s="97">
        <f>B46-C46</f>
        <v>0</v>
      </c>
      <c r="E46" s="99" t="e">
        <f>C46/B46*100</f>
        <v>#DIV/0!</v>
      </c>
      <c r="F46" s="423" t="s">
        <v>116</v>
      </c>
      <c r="G46" s="423" t="s">
        <v>117</v>
      </c>
      <c r="H46" s="423" t="s">
        <v>118</v>
      </c>
      <c r="J46" s="388" t="s">
        <v>41</v>
      </c>
      <c r="K46" s="389"/>
      <c r="L46" s="390"/>
      <c r="M46" s="118">
        <v>35</v>
      </c>
    </row>
    <row r="47" spans="1:13" ht="12" customHeight="1">
      <c r="A47" s="96" t="s">
        <v>166</v>
      </c>
      <c r="B47" s="115">
        <v>0</v>
      </c>
      <c r="C47" s="115">
        <v>0</v>
      </c>
      <c r="D47" s="97">
        <f>B47-C47</f>
        <v>0</v>
      </c>
      <c r="E47" s="99" t="e">
        <f>C47/B47*100</f>
        <v>#DIV/0!</v>
      </c>
      <c r="F47" s="420"/>
      <c r="G47" s="420"/>
      <c r="H47" s="420"/>
      <c r="J47" s="388" t="s">
        <v>42</v>
      </c>
      <c r="K47" s="389"/>
      <c r="L47" s="390"/>
      <c r="M47" s="118">
        <v>50</v>
      </c>
    </row>
    <row r="48" spans="1:13" ht="12" customHeight="1">
      <c r="A48" s="100" t="s">
        <v>167</v>
      </c>
      <c r="B48" s="116">
        <v>100</v>
      </c>
      <c r="C48" s="116">
        <v>34</v>
      </c>
      <c r="D48" s="97">
        <f>B48-C48</f>
        <v>66</v>
      </c>
      <c r="E48" s="99">
        <f>C48/B48*100</f>
        <v>34</v>
      </c>
      <c r="F48" s="424">
        <v>5002</v>
      </c>
      <c r="G48" s="424">
        <v>3770</v>
      </c>
      <c r="H48" s="426">
        <f>G50/F48*100</f>
        <v>24.630147940823672</v>
      </c>
      <c r="J48" s="388" t="s">
        <v>43</v>
      </c>
      <c r="K48" s="389"/>
      <c r="L48" s="390"/>
      <c r="M48" s="118">
        <v>25</v>
      </c>
    </row>
    <row r="49" spans="1:13" ht="12" customHeight="1">
      <c r="A49" s="101" t="s">
        <v>169</v>
      </c>
      <c r="B49" s="116">
        <v>100</v>
      </c>
      <c r="C49" s="116">
        <v>35</v>
      </c>
      <c r="D49" s="97">
        <f>B49-C49</f>
        <v>65</v>
      </c>
      <c r="E49" s="99">
        <f>C49/B49*100</f>
        <v>35</v>
      </c>
      <c r="F49" s="425"/>
      <c r="G49" s="425"/>
      <c r="H49" s="427"/>
      <c r="J49" s="388" t="s">
        <v>55</v>
      </c>
      <c r="K49" s="389"/>
      <c r="L49" s="390"/>
      <c r="M49" s="118"/>
    </row>
    <row r="50" spans="1:13">
      <c r="A50" s="117" t="s">
        <v>85</v>
      </c>
      <c r="B50" s="118">
        <f>SUM(B46:B49)</f>
        <v>200</v>
      </c>
      <c r="C50" s="118">
        <f>SUM(C46:C49)</f>
        <v>69</v>
      </c>
      <c r="D50" s="102" t="s">
        <v>119</v>
      </c>
      <c r="E50" s="119">
        <f>C50/B50*100</f>
        <v>34.5</v>
      </c>
      <c r="F50" s="103" t="s">
        <v>85</v>
      </c>
      <c r="G50" s="120">
        <f>F48-G48</f>
        <v>1232</v>
      </c>
      <c r="H50" s="104"/>
      <c r="J50" s="388"/>
      <c r="K50" s="389"/>
      <c r="L50" s="390"/>
      <c r="M50" s="118"/>
    </row>
    <row r="51" spans="1:13">
      <c r="A51" s="431" t="s">
        <v>46</v>
      </c>
      <c r="B51" s="432"/>
      <c r="C51" s="432"/>
      <c r="D51" s="432"/>
      <c r="E51" s="432"/>
      <c r="F51" s="432"/>
      <c r="G51" s="432"/>
      <c r="H51" s="433"/>
    </row>
    <row r="52" spans="1:13" ht="14.25">
      <c r="A52" s="421" t="s">
        <v>120</v>
      </c>
      <c r="B52" s="421" t="s">
        <v>121</v>
      </c>
      <c r="C52" s="421"/>
      <c r="D52" s="434" t="s">
        <v>122</v>
      </c>
      <c r="E52" s="434"/>
      <c r="F52" s="105" t="s">
        <v>123</v>
      </c>
      <c r="G52" s="105"/>
      <c r="H52" s="421" t="s">
        <v>124</v>
      </c>
    </row>
    <row r="53" spans="1:13">
      <c r="A53" s="421"/>
      <c r="B53" s="137" t="s">
        <v>125</v>
      </c>
      <c r="C53" s="137" t="s">
        <v>126</v>
      </c>
      <c r="D53" s="137" t="s">
        <v>125</v>
      </c>
      <c r="E53" s="137" t="s">
        <v>126</v>
      </c>
      <c r="F53" s="136" t="s">
        <v>127</v>
      </c>
      <c r="G53" s="136" t="s">
        <v>128</v>
      </c>
      <c r="H53" s="421"/>
    </row>
    <row r="54" spans="1:13">
      <c r="A54" s="137">
        <v>1</v>
      </c>
      <c r="B54" s="106"/>
      <c r="C54" s="106"/>
      <c r="D54" s="106"/>
      <c r="E54" s="106"/>
      <c r="F54" s="98">
        <v>0</v>
      </c>
      <c r="G54" s="98">
        <v>0</v>
      </c>
      <c r="H54" s="97" t="e">
        <f>F54/G54*100</f>
        <v>#DIV/0!</v>
      </c>
    </row>
    <row r="55" spans="1:13">
      <c r="A55" s="137">
        <v>2</v>
      </c>
      <c r="B55" s="106"/>
      <c r="C55" s="106"/>
      <c r="D55" s="106"/>
      <c r="E55" s="106"/>
      <c r="F55" s="98">
        <v>0</v>
      </c>
      <c r="G55" s="98">
        <v>0</v>
      </c>
      <c r="H55" s="97" t="e">
        <f>F55/G55*100</f>
        <v>#DIV/0!</v>
      </c>
    </row>
    <row r="56" spans="1:13">
      <c r="A56" s="137">
        <v>3</v>
      </c>
      <c r="B56" s="106"/>
      <c r="C56" s="106"/>
      <c r="D56" s="106"/>
      <c r="E56" s="106"/>
      <c r="F56" s="98">
        <v>0</v>
      </c>
      <c r="G56" s="98">
        <v>0</v>
      </c>
      <c r="H56" s="97" t="e">
        <f>F56/G56*100</f>
        <v>#DIV/0!</v>
      </c>
    </row>
    <row r="57" spans="1:13">
      <c r="A57" s="428" t="s">
        <v>85</v>
      </c>
      <c r="B57" s="429"/>
      <c r="C57" s="429"/>
      <c r="D57" s="429"/>
      <c r="E57" s="429"/>
      <c r="F57" s="430"/>
      <c r="G57" s="107" t="s">
        <v>129</v>
      </c>
      <c r="H57" s="79" t="e">
        <f>AVERAGE(H54:H56)</f>
        <v>#DIV/0!</v>
      </c>
    </row>
  </sheetData>
  <mergeCells count="57">
    <mergeCell ref="A57:F57"/>
    <mergeCell ref="F48:F49"/>
    <mergeCell ref="G48:G49"/>
    <mergeCell ref="H48:H49"/>
    <mergeCell ref="J48:L48"/>
    <mergeCell ref="J49:L49"/>
    <mergeCell ref="J50:L50"/>
    <mergeCell ref="A51:H51"/>
    <mergeCell ref="A52:A53"/>
    <mergeCell ref="B52:C52"/>
    <mergeCell ref="D52:E52"/>
    <mergeCell ref="H52:H53"/>
    <mergeCell ref="F46:F47"/>
    <mergeCell ref="G46:G47"/>
    <mergeCell ref="H46:H47"/>
    <mergeCell ref="J46:L46"/>
    <mergeCell ref="J47:L47"/>
    <mergeCell ref="J42:L42"/>
    <mergeCell ref="A43:E43"/>
    <mergeCell ref="F43:H43"/>
    <mergeCell ref="J43:L43"/>
    <mergeCell ref="A44:A45"/>
    <mergeCell ref="B44:B45"/>
    <mergeCell ref="C44:D44"/>
    <mergeCell ref="G44:H44"/>
    <mergeCell ref="J44:L44"/>
    <mergeCell ref="G45:H45"/>
    <mergeCell ref="A42:E42"/>
    <mergeCell ref="J45:L45"/>
    <mergeCell ref="A37:E37"/>
    <mergeCell ref="A38:E38"/>
    <mergeCell ref="A39:E39"/>
    <mergeCell ref="A40:E40"/>
    <mergeCell ref="A41:E41"/>
    <mergeCell ref="A36:E36"/>
    <mergeCell ref="A6:H6"/>
    <mergeCell ref="G7:H7"/>
    <mergeCell ref="G12:H22"/>
    <mergeCell ref="G23:H25"/>
    <mergeCell ref="A26:F26"/>
    <mergeCell ref="H26:H42"/>
    <mergeCell ref="A27:E27"/>
    <mergeCell ref="A28:E28"/>
    <mergeCell ref="A29:E29"/>
    <mergeCell ref="A30:E30"/>
    <mergeCell ref="A31:E31"/>
    <mergeCell ref="A32:E32"/>
    <mergeCell ref="A33:E33"/>
    <mergeCell ref="A34:F34"/>
    <mergeCell ref="A35:E35"/>
    <mergeCell ref="A5:B5"/>
    <mergeCell ref="C5:F5"/>
    <mergeCell ref="A1:F1"/>
    <mergeCell ref="G1:H1"/>
    <mergeCell ref="A2:A3"/>
    <mergeCell ref="B2:F3"/>
    <mergeCell ref="B4:F4"/>
  </mergeCells>
  <pageMargins left="0.7" right="0.7" top="0.75" bottom="0.75" header="0.3" footer="0.3"/>
  <pageSetup scale="9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4" zoomScaleNormal="100" workbookViewId="0">
      <selection activeCell="G12" sqref="G12:H22"/>
    </sheetView>
  </sheetViews>
  <sheetFormatPr baseColWidth="10" defaultRowHeight="12"/>
  <cols>
    <col min="1" max="16384" width="11.42578125" style="64"/>
  </cols>
  <sheetData>
    <row r="1" spans="1:8" ht="12" customHeight="1">
      <c r="A1" s="408" t="s">
        <v>56</v>
      </c>
      <c r="B1" s="409"/>
      <c r="C1" s="409"/>
      <c r="D1" s="409"/>
      <c r="E1" s="409"/>
      <c r="F1" s="410"/>
      <c r="G1" s="411"/>
      <c r="H1" s="412"/>
    </row>
    <row r="2" spans="1:8" ht="12" customHeight="1">
      <c r="A2" s="413" t="s">
        <v>14</v>
      </c>
      <c r="B2" s="439" t="str">
        <f>'CALCULO SELLO RELOTICO'!B2:F3</f>
        <v>SAN LUIS DEL CORDERO - SAN PEDRO DEL GALLO</v>
      </c>
      <c r="C2" s="439"/>
      <c r="D2" s="439"/>
      <c r="E2" s="439"/>
      <c r="F2" s="439"/>
      <c r="G2" s="65" t="s">
        <v>34</v>
      </c>
      <c r="H2" s="66">
        <f>'CALCULO SELLO RELOTICO'!H2+1</f>
        <v>634</v>
      </c>
    </row>
    <row r="3" spans="1:8">
      <c r="A3" s="413"/>
      <c r="B3" s="439"/>
      <c r="C3" s="439"/>
      <c r="D3" s="439"/>
      <c r="E3" s="439"/>
      <c r="F3" s="439"/>
      <c r="G3" s="67" t="s">
        <v>1</v>
      </c>
      <c r="H3" s="68">
        <f>'CALCULO SELLO RELOTICO'!H3</f>
        <v>42341</v>
      </c>
    </row>
    <row r="4" spans="1:8">
      <c r="A4" s="65" t="s">
        <v>57</v>
      </c>
      <c r="B4" s="391" t="str">
        <f>'CALCULO SELLO RELOTICO'!B4:F4</f>
        <v>EN BANCO</v>
      </c>
      <c r="C4" s="392"/>
      <c r="D4" s="392"/>
      <c r="E4" s="392"/>
      <c r="F4" s="393"/>
      <c r="G4" s="67" t="s">
        <v>58</v>
      </c>
      <c r="H4" s="69">
        <f>'CALCULO SELLO RELOTICO'!H4</f>
        <v>42345</v>
      </c>
    </row>
    <row r="5" spans="1:8">
      <c r="A5" s="394" t="s">
        <v>5</v>
      </c>
      <c r="B5" s="395"/>
      <c r="C5" s="396" t="str">
        <f>'CALCULO SELLO RELOTICO'!C5:F5</f>
        <v>MICROCARPETA T.M. 13 MM EN CALIENTE</v>
      </c>
      <c r="D5" s="397"/>
      <c r="E5" s="397"/>
      <c r="F5" s="398"/>
      <c r="G5" s="65"/>
      <c r="H5" s="65"/>
    </row>
    <row r="6" spans="1:8">
      <c r="A6" s="399" t="s">
        <v>59</v>
      </c>
      <c r="B6" s="399"/>
      <c r="C6" s="399"/>
      <c r="D6" s="399"/>
      <c r="E6" s="399"/>
      <c r="F6" s="399"/>
      <c r="G6" s="399"/>
      <c r="H6" s="399"/>
    </row>
    <row r="7" spans="1:8" ht="36">
      <c r="A7" s="70" t="s">
        <v>60</v>
      </c>
      <c r="B7" s="70" t="s">
        <v>61</v>
      </c>
      <c r="C7" s="71" t="s">
        <v>62</v>
      </c>
      <c r="D7" s="71" t="s">
        <v>63</v>
      </c>
      <c r="E7" s="71" t="s">
        <v>64</v>
      </c>
      <c r="F7" s="71" t="s">
        <v>65</v>
      </c>
      <c r="G7" s="415" t="s">
        <v>66</v>
      </c>
      <c r="H7" s="416"/>
    </row>
    <row r="8" spans="1:8">
      <c r="A8" s="72" t="s">
        <v>67</v>
      </c>
      <c r="B8" s="72" t="s">
        <v>68</v>
      </c>
      <c r="C8" s="72" t="s">
        <v>68</v>
      </c>
      <c r="D8" s="72" t="s">
        <v>69</v>
      </c>
      <c r="E8" s="72" t="s">
        <v>70</v>
      </c>
      <c r="F8" s="72" t="s">
        <v>70</v>
      </c>
      <c r="G8" s="73" t="s">
        <v>71</v>
      </c>
      <c r="H8" s="74">
        <v>2704</v>
      </c>
    </row>
    <row r="9" spans="1:8">
      <c r="A9" s="72" t="s">
        <v>72</v>
      </c>
      <c r="B9" s="72">
        <v>63.1</v>
      </c>
      <c r="C9" s="72"/>
      <c r="D9" s="75">
        <v>0</v>
      </c>
      <c r="E9" s="79">
        <f>D9/D25*100</f>
        <v>0</v>
      </c>
      <c r="F9" s="72">
        <f>100-E9</f>
        <v>100</v>
      </c>
      <c r="G9" s="73" t="s">
        <v>73</v>
      </c>
      <c r="H9" s="74">
        <v>1686</v>
      </c>
    </row>
    <row r="10" spans="1:8">
      <c r="A10" s="72" t="s">
        <v>74</v>
      </c>
      <c r="B10" s="72">
        <v>50</v>
      </c>
      <c r="C10" s="72"/>
      <c r="D10" s="75">
        <v>0</v>
      </c>
      <c r="E10" s="79">
        <f>D10/D25*100</f>
        <v>0</v>
      </c>
      <c r="F10" s="76">
        <f>F9-E10</f>
        <v>100</v>
      </c>
      <c r="G10" s="73" t="s">
        <v>75</v>
      </c>
      <c r="H10" s="74">
        <v>6181.4</v>
      </c>
    </row>
    <row r="11" spans="1:8">
      <c r="A11" s="77" t="s">
        <v>76</v>
      </c>
      <c r="B11" s="72">
        <v>36.1</v>
      </c>
      <c r="C11" s="72"/>
      <c r="D11" s="75">
        <v>0</v>
      </c>
      <c r="E11" s="79">
        <f>D11/D25*100</f>
        <v>0</v>
      </c>
      <c r="F11" s="76">
        <f t="shared" ref="F11:F23" si="0">F10-E11</f>
        <v>100</v>
      </c>
      <c r="G11" s="111" t="s">
        <v>77</v>
      </c>
      <c r="H11" s="112">
        <f>C25/H8*1000</f>
        <v>1662.4999999999998</v>
      </c>
    </row>
    <row r="12" spans="1:8">
      <c r="A12" s="77" t="s">
        <v>78</v>
      </c>
      <c r="B12" s="72">
        <v>25.4</v>
      </c>
      <c r="C12" s="72"/>
      <c r="D12" s="75">
        <v>0</v>
      </c>
      <c r="E12" s="79">
        <f>D12/D25*100</f>
        <v>0</v>
      </c>
      <c r="F12" s="76">
        <f t="shared" si="0"/>
        <v>100</v>
      </c>
      <c r="G12" s="435" t="s">
        <v>455</v>
      </c>
      <c r="H12" s="436"/>
    </row>
    <row r="13" spans="1:8">
      <c r="A13" s="77" t="s">
        <v>79</v>
      </c>
      <c r="B13" s="70">
        <v>19.05</v>
      </c>
      <c r="C13" s="72"/>
      <c r="D13" s="75">
        <v>0</v>
      </c>
      <c r="E13" s="79">
        <f>D13/D25*100</f>
        <v>0</v>
      </c>
      <c r="F13" s="76">
        <f t="shared" si="0"/>
        <v>100</v>
      </c>
      <c r="G13" s="435"/>
      <c r="H13" s="436"/>
    </row>
    <row r="14" spans="1:8">
      <c r="A14" s="77" t="s">
        <v>80</v>
      </c>
      <c r="B14" s="71">
        <v>12.7</v>
      </c>
      <c r="C14" s="72"/>
      <c r="D14" s="75">
        <v>0</v>
      </c>
      <c r="E14" s="79">
        <f>D14/D25*100</f>
        <v>0</v>
      </c>
      <c r="F14" s="76">
        <f t="shared" si="0"/>
        <v>100</v>
      </c>
      <c r="G14" s="435"/>
      <c r="H14" s="436"/>
    </row>
    <row r="15" spans="1:8">
      <c r="A15" s="77" t="s">
        <v>81</v>
      </c>
      <c r="B15" s="71">
        <v>9.52</v>
      </c>
      <c r="C15" s="72"/>
      <c r="D15" s="75">
        <v>0</v>
      </c>
      <c r="E15" s="79">
        <f>D15/D25*100</f>
        <v>0</v>
      </c>
      <c r="F15" s="76">
        <f t="shared" si="0"/>
        <v>100</v>
      </c>
      <c r="G15" s="435"/>
      <c r="H15" s="436"/>
    </row>
    <row r="16" spans="1:8">
      <c r="A16" s="77" t="s">
        <v>82</v>
      </c>
      <c r="B16" s="71">
        <v>6.3</v>
      </c>
      <c r="C16" s="72"/>
      <c r="D16" s="75">
        <v>0</v>
      </c>
      <c r="E16" s="79">
        <f>D16/D25*100</f>
        <v>0</v>
      </c>
      <c r="F16" s="76">
        <f t="shared" si="0"/>
        <v>100</v>
      </c>
      <c r="G16" s="435"/>
      <c r="H16" s="436"/>
    </row>
    <row r="17" spans="1:8">
      <c r="A17" s="77" t="s">
        <v>25</v>
      </c>
      <c r="B17" s="80">
        <v>4.75</v>
      </c>
      <c r="C17" s="72"/>
      <c r="D17" s="135">
        <v>0</v>
      </c>
      <c r="E17" s="76">
        <f>D17/D25*100</f>
        <v>0</v>
      </c>
      <c r="F17" s="76">
        <f t="shared" si="0"/>
        <v>100</v>
      </c>
      <c r="G17" s="435"/>
      <c r="H17" s="436"/>
    </row>
    <row r="18" spans="1:8">
      <c r="A18" s="77" t="s">
        <v>83</v>
      </c>
      <c r="B18" s="81">
        <v>2.36</v>
      </c>
      <c r="C18" s="72"/>
      <c r="D18" s="135">
        <v>137.6</v>
      </c>
      <c r="E18" s="76">
        <f>D18/D25*100</f>
        <v>27.542033626901517</v>
      </c>
      <c r="F18" s="76">
        <f t="shared" si="0"/>
        <v>72.457966373098486</v>
      </c>
      <c r="G18" s="435"/>
      <c r="H18" s="436"/>
    </row>
    <row r="19" spans="1:8">
      <c r="A19" s="77" t="s">
        <v>84</v>
      </c>
      <c r="B19" s="81">
        <v>1.18</v>
      </c>
      <c r="C19" s="72"/>
      <c r="D19" s="135">
        <v>138.1</v>
      </c>
      <c r="E19" s="76">
        <f>D19/D25*100</f>
        <v>27.642113690952758</v>
      </c>
      <c r="F19" s="76">
        <f t="shared" si="0"/>
        <v>44.815852682145731</v>
      </c>
      <c r="G19" s="435"/>
      <c r="H19" s="436"/>
    </row>
    <row r="20" spans="1:8">
      <c r="A20" s="77" t="s">
        <v>28</v>
      </c>
      <c r="B20" s="81">
        <v>0.6</v>
      </c>
      <c r="C20" s="72"/>
      <c r="D20" s="135">
        <v>78.2</v>
      </c>
      <c r="E20" s="76">
        <f>D20/D25*100</f>
        <v>15.652522017614089</v>
      </c>
      <c r="F20" s="76">
        <f t="shared" si="0"/>
        <v>29.163330664531642</v>
      </c>
      <c r="G20" s="435"/>
      <c r="H20" s="436"/>
    </row>
    <row r="21" spans="1:8">
      <c r="A21" s="77" t="s">
        <v>29</v>
      </c>
      <c r="B21" s="82">
        <v>0.3</v>
      </c>
      <c r="C21" s="72"/>
      <c r="D21" s="135">
        <v>42</v>
      </c>
      <c r="E21" s="76">
        <f>D21/D25*100</f>
        <v>8.406725380304243</v>
      </c>
      <c r="F21" s="76">
        <f t="shared" si="0"/>
        <v>20.756605284227398</v>
      </c>
      <c r="G21" s="435"/>
      <c r="H21" s="436"/>
    </row>
    <row r="22" spans="1:8">
      <c r="A22" s="77" t="s">
        <v>30</v>
      </c>
      <c r="B22" s="83">
        <v>0.14899999999999999</v>
      </c>
      <c r="C22" s="72"/>
      <c r="D22" s="135">
        <v>18.5</v>
      </c>
      <c r="E22" s="76">
        <f>D22/D25*100</f>
        <v>3.7029623698959164</v>
      </c>
      <c r="F22" s="76">
        <f t="shared" si="0"/>
        <v>17.05364291433148</v>
      </c>
      <c r="G22" s="437"/>
      <c r="H22" s="438"/>
    </row>
    <row r="23" spans="1:8">
      <c r="A23" s="77" t="s">
        <v>31</v>
      </c>
      <c r="B23" s="83">
        <v>7.3999999999999996E-2</v>
      </c>
      <c r="C23" s="72"/>
      <c r="D23" s="135">
        <v>24.4</v>
      </c>
      <c r="E23" s="76">
        <f>D23/D25*100</f>
        <v>4.88390712570056</v>
      </c>
      <c r="F23" s="76">
        <f t="shared" si="0"/>
        <v>12.16973578863092</v>
      </c>
      <c r="G23" s="400" t="s">
        <v>85</v>
      </c>
      <c r="H23" s="400"/>
    </row>
    <row r="24" spans="1:8">
      <c r="A24" s="77" t="s">
        <v>86</v>
      </c>
      <c r="B24" s="80" t="s">
        <v>87</v>
      </c>
      <c r="C24" s="364">
        <f>SUM(D9:D23)</f>
        <v>438.79999999999995</v>
      </c>
      <c r="D24" s="84">
        <f>D25-C24</f>
        <v>60.800000000000068</v>
      </c>
      <c r="E24" s="76">
        <f>D24/D25*100</f>
        <v>12.169735788630918</v>
      </c>
      <c r="F24" s="76">
        <f>F23-E24</f>
        <v>0</v>
      </c>
      <c r="G24" s="400"/>
      <c r="H24" s="400"/>
    </row>
    <row r="25" spans="1:8">
      <c r="A25" s="77" t="s">
        <v>88</v>
      </c>
      <c r="B25" s="85" t="s">
        <v>87</v>
      </c>
      <c r="C25" s="72">
        <f>H10-H9</f>
        <v>4495.3999999999996</v>
      </c>
      <c r="D25" s="135">
        <v>499.6</v>
      </c>
      <c r="E25" s="72"/>
      <c r="F25" s="72"/>
      <c r="G25" s="400"/>
      <c r="H25" s="400"/>
    </row>
    <row r="26" spans="1:8">
      <c r="A26" s="401" t="s">
        <v>89</v>
      </c>
      <c r="B26" s="402"/>
      <c r="C26" s="402"/>
      <c r="D26" s="402"/>
      <c r="E26" s="402"/>
      <c r="F26" s="402"/>
      <c r="G26" s="87" t="s">
        <v>90</v>
      </c>
      <c r="H26" s="403">
        <v>0</v>
      </c>
    </row>
    <row r="27" spans="1:8" ht="12.75" customHeight="1">
      <c r="A27" s="406" t="s">
        <v>91</v>
      </c>
      <c r="B27" s="407"/>
      <c r="C27" s="407"/>
      <c r="D27" s="407"/>
      <c r="E27" s="407"/>
      <c r="F27" s="88" t="s">
        <v>92</v>
      </c>
      <c r="G27" s="75">
        <v>0</v>
      </c>
      <c r="H27" s="404"/>
    </row>
    <row r="28" spans="1:8" ht="12" customHeight="1">
      <c r="A28" s="406" t="s">
        <v>93</v>
      </c>
      <c r="B28" s="407"/>
      <c r="C28" s="407"/>
      <c r="D28" s="407"/>
      <c r="E28" s="407"/>
      <c r="F28" s="88" t="s">
        <v>94</v>
      </c>
      <c r="G28" s="75">
        <v>0</v>
      </c>
      <c r="H28" s="404"/>
    </row>
    <row r="29" spans="1:8" ht="12.75" customHeight="1">
      <c r="A29" s="406" t="s">
        <v>95</v>
      </c>
      <c r="B29" s="407"/>
      <c r="C29" s="407"/>
      <c r="D29" s="407"/>
      <c r="E29" s="407"/>
      <c r="F29" s="88" t="s">
        <v>96</v>
      </c>
      <c r="G29" s="75">
        <v>0</v>
      </c>
      <c r="H29" s="404"/>
    </row>
    <row r="30" spans="1:8" ht="12" customHeight="1">
      <c r="A30" s="406" t="s">
        <v>97</v>
      </c>
      <c r="B30" s="407"/>
      <c r="C30" s="407"/>
      <c r="D30" s="407"/>
      <c r="E30" s="407"/>
      <c r="F30" s="89"/>
      <c r="G30" s="90" t="e">
        <f>G27/(G28-G29)</f>
        <v>#DIV/0!</v>
      </c>
      <c r="H30" s="404"/>
    </row>
    <row r="31" spans="1:8" ht="12" customHeight="1">
      <c r="A31" s="406" t="s">
        <v>98</v>
      </c>
      <c r="B31" s="407"/>
      <c r="C31" s="407"/>
      <c r="D31" s="407"/>
      <c r="E31" s="407"/>
      <c r="F31" s="89"/>
      <c r="G31" s="90" t="e">
        <f>G28/(G28-G29)</f>
        <v>#DIV/0!</v>
      </c>
      <c r="H31" s="404"/>
    </row>
    <row r="32" spans="1:8" ht="12" customHeight="1">
      <c r="A32" s="406" t="s">
        <v>99</v>
      </c>
      <c r="B32" s="407"/>
      <c r="C32" s="407"/>
      <c r="D32" s="407"/>
      <c r="E32" s="407"/>
      <c r="F32" s="89"/>
      <c r="G32" s="90" t="e">
        <f>G27/(G27-G29)</f>
        <v>#DIV/0!</v>
      </c>
      <c r="H32" s="404"/>
    </row>
    <row r="33" spans="1:13">
      <c r="A33" s="406" t="s">
        <v>100</v>
      </c>
      <c r="B33" s="407"/>
      <c r="C33" s="407"/>
      <c r="D33" s="407"/>
      <c r="E33" s="407"/>
      <c r="F33" s="89"/>
      <c r="G33" s="90" t="e">
        <f>((G28-G27)/G27)*100</f>
        <v>#DIV/0!</v>
      </c>
      <c r="H33" s="404"/>
    </row>
    <row r="34" spans="1:13">
      <c r="A34" s="417" t="s">
        <v>101</v>
      </c>
      <c r="B34" s="418"/>
      <c r="C34" s="418"/>
      <c r="D34" s="418"/>
      <c r="E34" s="418"/>
      <c r="F34" s="418"/>
      <c r="G34" s="91" t="s">
        <v>90</v>
      </c>
      <c r="H34" s="404"/>
      <c r="K34" s="363">
        <f>'CALCULO TEORICO MEZCLA'!O25</f>
        <v>4.2345749999999995</v>
      </c>
    </row>
    <row r="35" spans="1:13" ht="12.75" customHeight="1">
      <c r="A35" s="406" t="s">
        <v>91</v>
      </c>
      <c r="B35" s="407"/>
      <c r="C35" s="407"/>
      <c r="D35" s="407"/>
      <c r="E35" s="407"/>
      <c r="F35" s="88" t="s">
        <v>92</v>
      </c>
      <c r="G35" s="75">
        <v>492</v>
      </c>
      <c r="H35" s="404"/>
    </row>
    <row r="36" spans="1:13" ht="12" customHeight="1">
      <c r="A36" s="406" t="s">
        <v>102</v>
      </c>
      <c r="B36" s="407"/>
      <c r="C36" s="407"/>
      <c r="D36" s="407"/>
      <c r="E36" s="407"/>
      <c r="F36" s="88" t="s">
        <v>94</v>
      </c>
      <c r="G36" s="75">
        <v>1668.6</v>
      </c>
      <c r="H36" s="404"/>
    </row>
    <row r="37" spans="1:13" ht="12" customHeight="1">
      <c r="A37" s="406" t="s">
        <v>103</v>
      </c>
      <c r="B37" s="407"/>
      <c r="C37" s="407"/>
      <c r="D37" s="407"/>
      <c r="E37" s="407"/>
      <c r="F37" s="88" t="s">
        <v>96</v>
      </c>
      <c r="G37" s="75">
        <v>1963.6</v>
      </c>
      <c r="H37" s="404"/>
    </row>
    <row r="38" spans="1:13" ht="12.75" customHeight="1">
      <c r="A38" s="406" t="s">
        <v>104</v>
      </c>
      <c r="B38" s="407"/>
      <c r="C38" s="407"/>
      <c r="D38" s="407"/>
      <c r="E38" s="407"/>
      <c r="F38" s="88" t="s">
        <v>105</v>
      </c>
      <c r="G38" s="75">
        <v>500</v>
      </c>
      <c r="H38" s="404"/>
    </row>
    <row r="39" spans="1:13" ht="12" customHeight="1">
      <c r="A39" s="406" t="s">
        <v>97</v>
      </c>
      <c r="B39" s="407"/>
      <c r="C39" s="407"/>
      <c r="D39" s="407"/>
      <c r="E39" s="407"/>
      <c r="F39" s="89"/>
      <c r="G39" s="143">
        <f>G35/(G36+G38-G37)</f>
        <v>2.4</v>
      </c>
      <c r="H39" s="404"/>
    </row>
    <row r="40" spans="1:13" ht="12" customHeight="1">
      <c r="A40" s="406" t="s">
        <v>98</v>
      </c>
      <c r="B40" s="407"/>
      <c r="C40" s="407"/>
      <c r="D40" s="407"/>
      <c r="E40" s="407"/>
      <c r="F40" s="89"/>
      <c r="G40" s="90">
        <f>G38/(G36+G38-G37)</f>
        <v>2.4390243902439024</v>
      </c>
      <c r="H40" s="404"/>
    </row>
    <row r="41" spans="1:13" ht="12" customHeight="1">
      <c r="A41" s="406" t="s">
        <v>99</v>
      </c>
      <c r="B41" s="407"/>
      <c r="C41" s="407"/>
      <c r="D41" s="407"/>
      <c r="E41" s="407"/>
      <c r="F41" s="89"/>
      <c r="G41" s="90">
        <f>G35/((G36+G35)-G37)</f>
        <v>2.4974619289340101</v>
      </c>
      <c r="H41" s="404"/>
    </row>
    <row r="42" spans="1:13" ht="12" customHeight="1">
      <c r="A42" s="406" t="s">
        <v>100</v>
      </c>
      <c r="B42" s="407"/>
      <c r="C42" s="407"/>
      <c r="D42" s="407"/>
      <c r="E42" s="407"/>
      <c r="F42" s="89"/>
      <c r="G42" s="143">
        <f>100*((G38-G35)/G35)</f>
        <v>1.6260162601626018</v>
      </c>
      <c r="H42" s="405"/>
      <c r="J42" s="388" t="s">
        <v>38</v>
      </c>
      <c r="K42" s="389"/>
      <c r="L42" s="390"/>
      <c r="M42" s="118"/>
    </row>
    <row r="43" spans="1:13" ht="12" customHeight="1">
      <c r="A43" s="419" t="s">
        <v>106</v>
      </c>
      <c r="B43" s="419"/>
      <c r="C43" s="419"/>
      <c r="D43" s="419"/>
      <c r="E43" s="419"/>
      <c r="F43" s="419" t="s">
        <v>107</v>
      </c>
      <c r="G43" s="419"/>
      <c r="H43" s="419"/>
      <c r="J43" s="388" t="s">
        <v>45</v>
      </c>
      <c r="K43" s="389"/>
      <c r="L43" s="390"/>
      <c r="M43" s="118" t="s">
        <v>47</v>
      </c>
    </row>
    <row r="44" spans="1:13" ht="22.5">
      <c r="A44" s="420" t="s">
        <v>108</v>
      </c>
      <c r="B44" s="420" t="s">
        <v>109</v>
      </c>
      <c r="C44" s="422" t="s">
        <v>110</v>
      </c>
      <c r="D44" s="422"/>
      <c r="E44" s="110" t="s">
        <v>111</v>
      </c>
      <c r="F44" s="93" t="s">
        <v>112</v>
      </c>
      <c r="G44" s="421" t="s">
        <v>113</v>
      </c>
      <c r="H44" s="421"/>
      <c r="J44" s="388" t="s">
        <v>39</v>
      </c>
      <c r="K44" s="389"/>
      <c r="L44" s="390"/>
      <c r="M44" s="118">
        <v>2.4</v>
      </c>
    </row>
    <row r="45" spans="1:13" ht="24">
      <c r="A45" s="421"/>
      <c r="B45" s="421"/>
      <c r="C45" s="108" t="s">
        <v>114</v>
      </c>
      <c r="D45" s="108" t="s">
        <v>115</v>
      </c>
      <c r="E45" s="108" t="s">
        <v>114</v>
      </c>
      <c r="F45" s="95">
        <v>50</v>
      </c>
      <c r="G45" s="388"/>
      <c r="H45" s="390"/>
      <c r="J45" s="388" t="s">
        <v>40</v>
      </c>
      <c r="K45" s="389"/>
      <c r="L45" s="390"/>
      <c r="M45" s="118">
        <v>30</v>
      </c>
    </row>
    <row r="46" spans="1:13" ht="12" customHeight="1">
      <c r="A46" s="96" t="s">
        <v>168</v>
      </c>
      <c r="B46" s="113">
        <v>0</v>
      </c>
      <c r="C46" s="121">
        <v>0</v>
      </c>
      <c r="D46" s="97">
        <f>B46-C46</f>
        <v>0</v>
      </c>
      <c r="E46" s="99" t="e">
        <f>C46/B46*100</f>
        <v>#DIV/0!</v>
      </c>
      <c r="F46" s="423" t="s">
        <v>116</v>
      </c>
      <c r="G46" s="423" t="s">
        <v>117</v>
      </c>
      <c r="H46" s="423" t="s">
        <v>118</v>
      </c>
      <c r="J46" s="388" t="s">
        <v>41</v>
      </c>
      <c r="K46" s="389"/>
      <c r="L46" s="390"/>
      <c r="M46" s="118">
        <v>35</v>
      </c>
    </row>
    <row r="47" spans="1:13" ht="12" customHeight="1">
      <c r="A47" s="96" t="s">
        <v>166</v>
      </c>
      <c r="B47" s="115">
        <v>0</v>
      </c>
      <c r="C47" s="115">
        <v>0</v>
      </c>
      <c r="D47" s="97">
        <f>B47-C47</f>
        <v>0</v>
      </c>
      <c r="E47" s="99" t="e">
        <f>C47/B47*100</f>
        <v>#DIV/0!</v>
      </c>
      <c r="F47" s="420"/>
      <c r="G47" s="420"/>
      <c r="H47" s="420"/>
      <c r="J47" s="388" t="s">
        <v>42</v>
      </c>
      <c r="K47" s="389"/>
      <c r="L47" s="390"/>
      <c r="M47" s="118">
        <v>50</v>
      </c>
    </row>
    <row r="48" spans="1:13" ht="12" customHeight="1">
      <c r="A48" s="100" t="s">
        <v>167</v>
      </c>
      <c r="B48" s="116">
        <v>0</v>
      </c>
      <c r="C48" s="116">
        <v>0</v>
      </c>
      <c r="D48" s="97">
        <f>B48-C48</f>
        <v>0</v>
      </c>
      <c r="E48" s="99" t="e">
        <f>C48/B48*100</f>
        <v>#DIV/0!</v>
      </c>
      <c r="F48" s="424">
        <v>0</v>
      </c>
      <c r="G48" s="424">
        <v>0</v>
      </c>
      <c r="H48" s="426" t="e">
        <f>G50/F48*100</f>
        <v>#DIV/0!</v>
      </c>
      <c r="J48" s="388" t="s">
        <v>43</v>
      </c>
      <c r="K48" s="389"/>
      <c r="L48" s="390"/>
      <c r="M48" s="118">
        <v>25</v>
      </c>
    </row>
    <row r="49" spans="1:13" ht="12" customHeight="1">
      <c r="A49" s="101" t="s">
        <v>169</v>
      </c>
      <c r="B49" s="116">
        <v>0</v>
      </c>
      <c r="C49" s="116">
        <v>0</v>
      </c>
      <c r="D49" s="97">
        <f>B49-C49</f>
        <v>0</v>
      </c>
      <c r="E49" s="99" t="e">
        <f>C49/B49*100</f>
        <v>#DIV/0!</v>
      </c>
      <c r="F49" s="425"/>
      <c r="G49" s="425"/>
      <c r="H49" s="427"/>
      <c r="J49" s="388" t="s">
        <v>55</v>
      </c>
      <c r="K49" s="389"/>
      <c r="L49" s="390"/>
      <c r="M49" s="118"/>
    </row>
    <row r="50" spans="1:13">
      <c r="A50" s="117" t="s">
        <v>85</v>
      </c>
      <c r="B50" s="118">
        <f>SUM(B46:B49)</f>
        <v>0</v>
      </c>
      <c r="C50" s="118">
        <f>SUM(C46:C49)</f>
        <v>0</v>
      </c>
      <c r="D50" s="102" t="s">
        <v>119</v>
      </c>
      <c r="E50" s="119" t="e">
        <f>C50/B50*100</f>
        <v>#DIV/0!</v>
      </c>
      <c r="F50" s="103" t="s">
        <v>85</v>
      </c>
      <c r="G50" s="104">
        <f>F48-G48</f>
        <v>0</v>
      </c>
      <c r="H50" s="104"/>
      <c r="J50" s="388"/>
      <c r="K50" s="389"/>
      <c r="L50" s="390"/>
      <c r="M50" s="118"/>
    </row>
    <row r="51" spans="1:13">
      <c r="A51" s="431" t="s">
        <v>46</v>
      </c>
      <c r="B51" s="432"/>
      <c r="C51" s="432"/>
      <c r="D51" s="432"/>
      <c r="E51" s="432"/>
      <c r="F51" s="432"/>
      <c r="G51" s="432"/>
      <c r="H51" s="433"/>
    </row>
    <row r="52" spans="1:13" ht="14.25" customHeight="1">
      <c r="A52" s="421" t="s">
        <v>120</v>
      </c>
      <c r="B52" s="421" t="s">
        <v>121</v>
      </c>
      <c r="C52" s="421"/>
      <c r="D52" s="434" t="s">
        <v>122</v>
      </c>
      <c r="E52" s="434"/>
      <c r="F52" s="105" t="s">
        <v>123</v>
      </c>
      <c r="G52" s="105"/>
      <c r="H52" s="421" t="s">
        <v>124</v>
      </c>
    </row>
    <row r="53" spans="1:13">
      <c r="A53" s="421"/>
      <c r="B53" s="109" t="s">
        <v>125</v>
      </c>
      <c r="C53" s="109" t="s">
        <v>126</v>
      </c>
      <c r="D53" s="109" t="s">
        <v>125</v>
      </c>
      <c r="E53" s="109" t="s">
        <v>126</v>
      </c>
      <c r="F53" s="108" t="s">
        <v>127</v>
      </c>
      <c r="G53" s="108" t="s">
        <v>128</v>
      </c>
      <c r="H53" s="421"/>
    </row>
    <row r="54" spans="1:13">
      <c r="A54" s="135">
        <v>1</v>
      </c>
      <c r="B54" s="134">
        <v>0</v>
      </c>
      <c r="C54" s="134">
        <v>0</v>
      </c>
      <c r="D54" s="134">
        <v>0</v>
      </c>
      <c r="E54" s="134">
        <v>0</v>
      </c>
      <c r="F54" s="116">
        <v>3.2</v>
      </c>
      <c r="G54" s="116">
        <v>6.2</v>
      </c>
      <c r="H54" s="97">
        <f>F54/G54*100</f>
        <v>51.612903225806448</v>
      </c>
    </row>
    <row r="55" spans="1:13">
      <c r="A55" s="135">
        <v>2</v>
      </c>
      <c r="B55" s="134">
        <v>0</v>
      </c>
      <c r="C55" s="134">
        <v>0</v>
      </c>
      <c r="D55" s="134">
        <v>0</v>
      </c>
      <c r="E55" s="134">
        <v>0</v>
      </c>
      <c r="F55" s="116">
        <v>3.1</v>
      </c>
      <c r="G55" s="116">
        <v>6</v>
      </c>
      <c r="H55" s="97">
        <f>F55/G55*100</f>
        <v>51.666666666666671</v>
      </c>
    </row>
    <row r="56" spans="1:13">
      <c r="A56" s="135">
        <v>3</v>
      </c>
      <c r="B56" s="134">
        <v>0</v>
      </c>
      <c r="C56" s="134">
        <v>0</v>
      </c>
      <c r="D56" s="134">
        <v>0</v>
      </c>
      <c r="E56" s="134">
        <v>0</v>
      </c>
      <c r="F56" s="116">
        <v>3.3</v>
      </c>
      <c r="G56" s="116">
        <v>6</v>
      </c>
      <c r="H56" s="97">
        <f>F56/G56*100</f>
        <v>54.999999999999993</v>
      </c>
    </row>
    <row r="57" spans="1:13">
      <c r="A57" s="428" t="s">
        <v>85</v>
      </c>
      <c r="B57" s="429"/>
      <c r="C57" s="429"/>
      <c r="D57" s="429"/>
      <c r="E57" s="429"/>
      <c r="F57" s="430"/>
      <c r="G57" s="107" t="s">
        <v>129</v>
      </c>
      <c r="H57" s="79">
        <f>AVERAGE(H54:H56)</f>
        <v>52.759856630824373</v>
      </c>
    </row>
  </sheetData>
  <mergeCells count="57">
    <mergeCell ref="A57:F57"/>
    <mergeCell ref="A51:H51"/>
    <mergeCell ref="A52:A53"/>
    <mergeCell ref="B52:C52"/>
    <mergeCell ref="D52:E52"/>
    <mergeCell ref="H52:H53"/>
    <mergeCell ref="F46:F47"/>
    <mergeCell ref="G46:G47"/>
    <mergeCell ref="H46:H47"/>
    <mergeCell ref="F48:F49"/>
    <mergeCell ref="G48:G49"/>
    <mergeCell ref="H48:H49"/>
    <mergeCell ref="A41:E41"/>
    <mergeCell ref="A43:E43"/>
    <mergeCell ref="F43:H43"/>
    <mergeCell ref="A44:A45"/>
    <mergeCell ref="B44:B45"/>
    <mergeCell ref="C44:D44"/>
    <mergeCell ref="G44:H44"/>
    <mergeCell ref="G45:H45"/>
    <mergeCell ref="A36:E36"/>
    <mergeCell ref="A37:E37"/>
    <mergeCell ref="A38:E38"/>
    <mergeCell ref="A39:E39"/>
    <mergeCell ref="A40:E40"/>
    <mergeCell ref="A6:H6"/>
    <mergeCell ref="G7:H7"/>
    <mergeCell ref="G12:H22"/>
    <mergeCell ref="G23:H25"/>
    <mergeCell ref="A26:F26"/>
    <mergeCell ref="H26:H42"/>
    <mergeCell ref="A27:E27"/>
    <mergeCell ref="A28:E28"/>
    <mergeCell ref="A29:E29"/>
    <mergeCell ref="A30:E30"/>
    <mergeCell ref="A42:E42"/>
    <mergeCell ref="A31:E31"/>
    <mergeCell ref="A32:E32"/>
    <mergeCell ref="A33:E33"/>
    <mergeCell ref="A34:F34"/>
    <mergeCell ref="A35:E35"/>
    <mergeCell ref="A5:B5"/>
    <mergeCell ref="C5:F5"/>
    <mergeCell ref="A1:F1"/>
    <mergeCell ref="G1:H1"/>
    <mergeCell ref="A2:A3"/>
    <mergeCell ref="B2:F3"/>
    <mergeCell ref="B4:F4"/>
    <mergeCell ref="J47:L47"/>
    <mergeCell ref="J48:L48"/>
    <mergeCell ref="J49:L49"/>
    <mergeCell ref="J50:L50"/>
    <mergeCell ref="J42:L42"/>
    <mergeCell ref="J43:L43"/>
    <mergeCell ref="J44:L44"/>
    <mergeCell ref="J45:L45"/>
    <mergeCell ref="J46:L46"/>
  </mergeCells>
  <pageMargins left="0.7" right="0.7" top="0.75" bottom="0.75" header="0.3" footer="0.3"/>
  <pageSetup scale="9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0"/>
  <sheetViews>
    <sheetView zoomScale="90" zoomScaleNormal="90" workbookViewId="0">
      <selection activeCell="R29" sqref="R29"/>
    </sheetView>
  </sheetViews>
  <sheetFormatPr baseColWidth="10" defaultRowHeight="15"/>
  <cols>
    <col min="1" max="1" width="7.85546875" style="283" customWidth="1"/>
    <col min="2" max="2" width="9.140625" style="283" customWidth="1"/>
    <col min="3" max="3" width="6.85546875" style="283" customWidth="1"/>
    <col min="4" max="10" width="5.7109375" style="283" customWidth="1"/>
    <col min="11" max="11" width="5.140625" style="283" customWidth="1"/>
    <col min="12" max="15" width="5.7109375" style="283" customWidth="1"/>
    <col min="16" max="16" width="4.5703125" style="283" customWidth="1"/>
    <col min="17" max="19" width="11.42578125" style="283"/>
    <col min="20" max="20" width="16.140625" style="283" customWidth="1"/>
    <col min="21" max="21" width="12.28515625" style="141" customWidth="1"/>
    <col min="22" max="22" width="6.28515625" style="283" customWidth="1"/>
    <col min="23" max="23" width="6.140625" style="283" customWidth="1"/>
    <col min="24" max="256" width="11.42578125" style="283"/>
    <col min="257" max="257" width="7.85546875" style="283" customWidth="1"/>
    <col min="258" max="258" width="9.140625" style="283" customWidth="1"/>
    <col min="259" max="259" width="6.85546875" style="283" customWidth="1"/>
    <col min="260" max="266" width="5.7109375" style="283" customWidth="1"/>
    <col min="267" max="267" width="5.140625" style="283" customWidth="1"/>
    <col min="268" max="271" width="5.7109375" style="283" customWidth="1"/>
    <col min="272" max="272" width="4.140625" style="283" customWidth="1"/>
    <col min="273" max="275" width="11.42578125" style="283"/>
    <col min="276" max="276" width="16.140625" style="283" customWidth="1"/>
    <col min="277" max="512" width="11.42578125" style="283"/>
    <col min="513" max="513" width="7.85546875" style="283" customWidth="1"/>
    <col min="514" max="514" width="9.140625" style="283" customWidth="1"/>
    <col min="515" max="515" width="6.85546875" style="283" customWidth="1"/>
    <col min="516" max="522" width="5.7109375" style="283" customWidth="1"/>
    <col min="523" max="523" width="5.140625" style="283" customWidth="1"/>
    <col min="524" max="527" width="5.7109375" style="283" customWidth="1"/>
    <col min="528" max="528" width="4.140625" style="283" customWidth="1"/>
    <col min="529" max="531" width="11.42578125" style="283"/>
    <col min="532" max="532" width="16.140625" style="283" customWidth="1"/>
    <col min="533" max="768" width="11.42578125" style="283"/>
    <col min="769" max="769" width="7.85546875" style="283" customWidth="1"/>
    <col min="770" max="770" width="9.140625" style="283" customWidth="1"/>
    <col min="771" max="771" width="6.85546875" style="283" customWidth="1"/>
    <col min="772" max="778" width="5.7109375" style="283" customWidth="1"/>
    <col min="779" max="779" width="5.140625" style="283" customWidth="1"/>
    <col min="780" max="783" width="5.7109375" style="283" customWidth="1"/>
    <col min="784" max="784" width="4.140625" style="283" customWidth="1"/>
    <col min="785" max="787" width="11.42578125" style="283"/>
    <col min="788" max="788" width="16.140625" style="283" customWidth="1"/>
    <col min="789" max="1024" width="11.42578125" style="283"/>
    <col min="1025" max="1025" width="7.85546875" style="283" customWidth="1"/>
    <col min="1026" max="1026" width="9.140625" style="283" customWidth="1"/>
    <col min="1027" max="1027" width="6.85546875" style="283" customWidth="1"/>
    <col min="1028" max="1034" width="5.7109375" style="283" customWidth="1"/>
    <col min="1035" max="1035" width="5.140625" style="283" customWidth="1"/>
    <col min="1036" max="1039" width="5.7109375" style="283" customWidth="1"/>
    <col min="1040" max="1040" width="4.140625" style="283" customWidth="1"/>
    <col min="1041" max="1043" width="11.42578125" style="283"/>
    <col min="1044" max="1044" width="16.140625" style="283" customWidth="1"/>
    <col min="1045" max="1280" width="11.42578125" style="283"/>
    <col min="1281" max="1281" width="7.85546875" style="283" customWidth="1"/>
    <col min="1282" max="1282" width="9.140625" style="283" customWidth="1"/>
    <col min="1283" max="1283" width="6.85546875" style="283" customWidth="1"/>
    <col min="1284" max="1290" width="5.7109375" style="283" customWidth="1"/>
    <col min="1291" max="1291" width="5.140625" style="283" customWidth="1"/>
    <col min="1292" max="1295" width="5.7109375" style="283" customWidth="1"/>
    <col min="1296" max="1296" width="4.140625" style="283" customWidth="1"/>
    <col min="1297" max="1299" width="11.42578125" style="283"/>
    <col min="1300" max="1300" width="16.140625" style="283" customWidth="1"/>
    <col min="1301" max="1536" width="11.42578125" style="283"/>
    <col min="1537" max="1537" width="7.85546875" style="283" customWidth="1"/>
    <col min="1538" max="1538" width="9.140625" style="283" customWidth="1"/>
    <col min="1539" max="1539" width="6.85546875" style="283" customWidth="1"/>
    <col min="1540" max="1546" width="5.7109375" style="283" customWidth="1"/>
    <col min="1547" max="1547" width="5.140625" style="283" customWidth="1"/>
    <col min="1548" max="1551" width="5.7109375" style="283" customWidth="1"/>
    <col min="1552" max="1552" width="4.140625" style="283" customWidth="1"/>
    <col min="1553" max="1555" width="11.42578125" style="283"/>
    <col min="1556" max="1556" width="16.140625" style="283" customWidth="1"/>
    <col min="1557" max="1792" width="11.42578125" style="283"/>
    <col min="1793" max="1793" width="7.85546875" style="283" customWidth="1"/>
    <col min="1794" max="1794" width="9.140625" style="283" customWidth="1"/>
    <col min="1795" max="1795" width="6.85546875" style="283" customWidth="1"/>
    <col min="1796" max="1802" width="5.7109375" style="283" customWidth="1"/>
    <col min="1803" max="1803" width="5.140625" style="283" customWidth="1"/>
    <col min="1804" max="1807" width="5.7109375" style="283" customWidth="1"/>
    <col min="1808" max="1808" width="4.140625" style="283" customWidth="1"/>
    <col min="1809" max="1811" width="11.42578125" style="283"/>
    <col min="1812" max="1812" width="16.140625" style="283" customWidth="1"/>
    <col min="1813" max="2048" width="11.42578125" style="283"/>
    <col min="2049" max="2049" width="7.85546875" style="283" customWidth="1"/>
    <col min="2050" max="2050" width="9.140625" style="283" customWidth="1"/>
    <col min="2051" max="2051" width="6.85546875" style="283" customWidth="1"/>
    <col min="2052" max="2058" width="5.7109375" style="283" customWidth="1"/>
    <col min="2059" max="2059" width="5.140625" style="283" customWidth="1"/>
    <col min="2060" max="2063" width="5.7109375" style="283" customWidth="1"/>
    <col min="2064" max="2064" width="4.140625" style="283" customWidth="1"/>
    <col min="2065" max="2067" width="11.42578125" style="283"/>
    <col min="2068" max="2068" width="16.140625" style="283" customWidth="1"/>
    <col min="2069" max="2304" width="11.42578125" style="283"/>
    <col min="2305" max="2305" width="7.85546875" style="283" customWidth="1"/>
    <col min="2306" max="2306" width="9.140625" style="283" customWidth="1"/>
    <col min="2307" max="2307" width="6.85546875" style="283" customWidth="1"/>
    <col min="2308" max="2314" width="5.7109375" style="283" customWidth="1"/>
    <col min="2315" max="2315" width="5.140625" style="283" customWidth="1"/>
    <col min="2316" max="2319" width="5.7109375" style="283" customWidth="1"/>
    <col min="2320" max="2320" width="4.140625" style="283" customWidth="1"/>
    <col min="2321" max="2323" width="11.42578125" style="283"/>
    <col min="2324" max="2324" width="16.140625" style="283" customWidth="1"/>
    <col min="2325" max="2560" width="11.42578125" style="283"/>
    <col min="2561" max="2561" width="7.85546875" style="283" customWidth="1"/>
    <col min="2562" max="2562" width="9.140625" style="283" customWidth="1"/>
    <col min="2563" max="2563" width="6.85546875" style="283" customWidth="1"/>
    <col min="2564" max="2570" width="5.7109375" style="283" customWidth="1"/>
    <col min="2571" max="2571" width="5.140625" style="283" customWidth="1"/>
    <col min="2572" max="2575" width="5.7109375" style="283" customWidth="1"/>
    <col min="2576" max="2576" width="4.140625" style="283" customWidth="1"/>
    <col min="2577" max="2579" width="11.42578125" style="283"/>
    <col min="2580" max="2580" width="16.140625" style="283" customWidth="1"/>
    <col min="2581" max="2816" width="11.42578125" style="283"/>
    <col min="2817" max="2817" width="7.85546875" style="283" customWidth="1"/>
    <col min="2818" max="2818" width="9.140625" style="283" customWidth="1"/>
    <col min="2819" max="2819" width="6.85546875" style="283" customWidth="1"/>
    <col min="2820" max="2826" width="5.7109375" style="283" customWidth="1"/>
    <col min="2827" max="2827" width="5.140625" style="283" customWidth="1"/>
    <col min="2828" max="2831" width="5.7109375" style="283" customWidth="1"/>
    <col min="2832" max="2832" width="4.140625" style="283" customWidth="1"/>
    <col min="2833" max="2835" width="11.42578125" style="283"/>
    <col min="2836" max="2836" width="16.140625" style="283" customWidth="1"/>
    <col min="2837" max="3072" width="11.42578125" style="283"/>
    <col min="3073" max="3073" width="7.85546875" style="283" customWidth="1"/>
    <col min="3074" max="3074" width="9.140625" style="283" customWidth="1"/>
    <col min="3075" max="3075" width="6.85546875" style="283" customWidth="1"/>
    <col min="3076" max="3082" width="5.7109375" style="283" customWidth="1"/>
    <col min="3083" max="3083" width="5.140625" style="283" customWidth="1"/>
    <col min="3084" max="3087" width="5.7109375" style="283" customWidth="1"/>
    <col min="3088" max="3088" width="4.140625" style="283" customWidth="1"/>
    <col min="3089" max="3091" width="11.42578125" style="283"/>
    <col min="3092" max="3092" width="16.140625" style="283" customWidth="1"/>
    <col min="3093" max="3328" width="11.42578125" style="283"/>
    <col min="3329" max="3329" width="7.85546875" style="283" customWidth="1"/>
    <col min="3330" max="3330" width="9.140625" style="283" customWidth="1"/>
    <col min="3331" max="3331" width="6.85546875" style="283" customWidth="1"/>
    <col min="3332" max="3338" width="5.7109375" style="283" customWidth="1"/>
    <col min="3339" max="3339" width="5.140625" style="283" customWidth="1"/>
    <col min="3340" max="3343" width="5.7109375" style="283" customWidth="1"/>
    <col min="3344" max="3344" width="4.140625" style="283" customWidth="1"/>
    <col min="3345" max="3347" width="11.42578125" style="283"/>
    <col min="3348" max="3348" width="16.140625" style="283" customWidth="1"/>
    <col min="3349" max="3584" width="11.42578125" style="283"/>
    <col min="3585" max="3585" width="7.85546875" style="283" customWidth="1"/>
    <col min="3586" max="3586" width="9.140625" style="283" customWidth="1"/>
    <col min="3587" max="3587" width="6.85546875" style="283" customWidth="1"/>
    <col min="3588" max="3594" width="5.7109375" style="283" customWidth="1"/>
    <col min="3595" max="3595" width="5.140625" style="283" customWidth="1"/>
    <col min="3596" max="3599" width="5.7109375" style="283" customWidth="1"/>
    <col min="3600" max="3600" width="4.140625" style="283" customWidth="1"/>
    <col min="3601" max="3603" width="11.42578125" style="283"/>
    <col min="3604" max="3604" width="16.140625" style="283" customWidth="1"/>
    <col min="3605" max="3840" width="11.42578125" style="283"/>
    <col min="3841" max="3841" width="7.85546875" style="283" customWidth="1"/>
    <col min="3842" max="3842" width="9.140625" style="283" customWidth="1"/>
    <col min="3843" max="3843" width="6.85546875" style="283" customWidth="1"/>
    <col min="3844" max="3850" width="5.7109375" style="283" customWidth="1"/>
    <col min="3851" max="3851" width="5.140625" style="283" customWidth="1"/>
    <col min="3852" max="3855" width="5.7109375" style="283" customWidth="1"/>
    <col min="3856" max="3856" width="4.140625" style="283" customWidth="1"/>
    <col min="3857" max="3859" width="11.42578125" style="283"/>
    <col min="3860" max="3860" width="16.140625" style="283" customWidth="1"/>
    <col min="3861" max="4096" width="11.42578125" style="283"/>
    <col min="4097" max="4097" width="7.85546875" style="283" customWidth="1"/>
    <col min="4098" max="4098" width="9.140625" style="283" customWidth="1"/>
    <col min="4099" max="4099" width="6.85546875" style="283" customWidth="1"/>
    <col min="4100" max="4106" width="5.7109375" style="283" customWidth="1"/>
    <col min="4107" max="4107" width="5.140625" style="283" customWidth="1"/>
    <col min="4108" max="4111" width="5.7109375" style="283" customWidth="1"/>
    <col min="4112" max="4112" width="4.140625" style="283" customWidth="1"/>
    <col min="4113" max="4115" width="11.42578125" style="283"/>
    <col min="4116" max="4116" width="16.140625" style="283" customWidth="1"/>
    <col min="4117" max="4352" width="11.42578125" style="283"/>
    <col min="4353" max="4353" width="7.85546875" style="283" customWidth="1"/>
    <col min="4354" max="4354" width="9.140625" style="283" customWidth="1"/>
    <col min="4355" max="4355" width="6.85546875" style="283" customWidth="1"/>
    <col min="4356" max="4362" width="5.7109375" style="283" customWidth="1"/>
    <col min="4363" max="4363" width="5.140625" style="283" customWidth="1"/>
    <col min="4364" max="4367" width="5.7109375" style="283" customWidth="1"/>
    <col min="4368" max="4368" width="4.140625" style="283" customWidth="1"/>
    <col min="4369" max="4371" width="11.42578125" style="283"/>
    <col min="4372" max="4372" width="16.140625" style="283" customWidth="1"/>
    <col min="4373" max="4608" width="11.42578125" style="283"/>
    <col min="4609" max="4609" width="7.85546875" style="283" customWidth="1"/>
    <col min="4610" max="4610" width="9.140625" style="283" customWidth="1"/>
    <col min="4611" max="4611" width="6.85546875" style="283" customWidth="1"/>
    <col min="4612" max="4618" width="5.7109375" style="283" customWidth="1"/>
    <col min="4619" max="4619" width="5.140625" style="283" customWidth="1"/>
    <col min="4620" max="4623" width="5.7109375" style="283" customWidth="1"/>
    <col min="4624" max="4624" width="4.140625" style="283" customWidth="1"/>
    <col min="4625" max="4627" width="11.42578125" style="283"/>
    <col min="4628" max="4628" width="16.140625" style="283" customWidth="1"/>
    <col min="4629" max="4864" width="11.42578125" style="283"/>
    <col min="4865" max="4865" width="7.85546875" style="283" customWidth="1"/>
    <col min="4866" max="4866" width="9.140625" style="283" customWidth="1"/>
    <col min="4867" max="4867" width="6.85546875" style="283" customWidth="1"/>
    <col min="4868" max="4874" width="5.7109375" style="283" customWidth="1"/>
    <col min="4875" max="4875" width="5.140625" style="283" customWidth="1"/>
    <col min="4876" max="4879" width="5.7109375" style="283" customWidth="1"/>
    <col min="4880" max="4880" width="4.140625" style="283" customWidth="1"/>
    <col min="4881" max="4883" width="11.42578125" style="283"/>
    <col min="4884" max="4884" width="16.140625" style="283" customWidth="1"/>
    <col min="4885" max="5120" width="11.42578125" style="283"/>
    <col min="5121" max="5121" width="7.85546875" style="283" customWidth="1"/>
    <col min="5122" max="5122" width="9.140625" style="283" customWidth="1"/>
    <col min="5123" max="5123" width="6.85546875" style="283" customWidth="1"/>
    <col min="5124" max="5130" width="5.7109375" style="283" customWidth="1"/>
    <col min="5131" max="5131" width="5.140625" style="283" customWidth="1"/>
    <col min="5132" max="5135" width="5.7109375" style="283" customWidth="1"/>
    <col min="5136" max="5136" width="4.140625" style="283" customWidth="1"/>
    <col min="5137" max="5139" width="11.42578125" style="283"/>
    <col min="5140" max="5140" width="16.140625" style="283" customWidth="1"/>
    <col min="5141" max="5376" width="11.42578125" style="283"/>
    <col min="5377" max="5377" width="7.85546875" style="283" customWidth="1"/>
    <col min="5378" max="5378" width="9.140625" style="283" customWidth="1"/>
    <col min="5379" max="5379" width="6.85546875" style="283" customWidth="1"/>
    <col min="5380" max="5386" width="5.7109375" style="283" customWidth="1"/>
    <col min="5387" max="5387" width="5.140625" style="283" customWidth="1"/>
    <col min="5388" max="5391" width="5.7109375" style="283" customWidth="1"/>
    <col min="5392" max="5392" width="4.140625" style="283" customWidth="1"/>
    <col min="5393" max="5395" width="11.42578125" style="283"/>
    <col min="5396" max="5396" width="16.140625" style="283" customWidth="1"/>
    <col min="5397" max="5632" width="11.42578125" style="283"/>
    <col min="5633" max="5633" width="7.85546875" style="283" customWidth="1"/>
    <col min="5634" max="5634" width="9.140625" style="283" customWidth="1"/>
    <col min="5635" max="5635" width="6.85546875" style="283" customWidth="1"/>
    <col min="5636" max="5642" width="5.7109375" style="283" customWidth="1"/>
    <col min="5643" max="5643" width="5.140625" style="283" customWidth="1"/>
    <col min="5644" max="5647" width="5.7109375" style="283" customWidth="1"/>
    <col min="5648" max="5648" width="4.140625" style="283" customWidth="1"/>
    <col min="5649" max="5651" width="11.42578125" style="283"/>
    <col min="5652" max="5652" width="16.140625" style="283" customWidth="1"/>
    <col min="5653" max="5888" width="11.42578125" style="283"/>
    <col min="5889" max="5889" width="7.85546875" style="283" customWidth="1"/>
    <col min="5890" max="5890" width="9.140625" style="283" customWidth="1"/>
    <col min="5891" max="5891" width="6.85546875" style="283" customWidth="1"/>
    <col min="5892" max="5898" width="5.7109375" style="283" customWidth="1"/>
    <col min="5899" max="5899" width="5.140625" style="283" customWidth="1"/>
    <col min="5900" max="5903" width="5.7109375" style="283" customWidth="1"/>
    <col min="5904" max="5904" width="4.140625" style="283" customWidth="1"/>
    <col min="5905" max="5907" width="11.42578125" style="283"/>
    <col min="5908" max="5908" width="16.140625" style="283" customWidth="1"/>
    <col min="5909" max="6144" width="11.42578125" style="283"/>
    <col min="6145" max="6145" width="7.85546875" style="283" customWidth="1"/>
    <col min="6146" max="6146" width="9.140625" style="283" customWidth="1"/>
    <col min="6147" max="6147" width="6.85546875" style="283" customWidth="1"/>
    <col min="6148" max="6154" width="5.7109375" style="283" customWidth="1"/>
    <col min="6155" max="6155" width="5.140625" style="283" customWidth="1"/>
    <col min="6156" max="6159" width="5.7109375" style="283" customWidth="1"/>
    <col min="6160" max="6160" width="4.140625" style="283" customWidth="1"/>
    <col min="6161" max="6163" width="11.42578125" style="283"/>
    <col min="6164" max="6164" width="16.140625" style="283" customWidth="1"/>
    <col min="6165" max="6400" width="11.42578125" style="283"/>
    <col min="6401" max="6401" width="7.85546875" style="283" customWidth="1"/>
    <col min="6402" max="6402" width="9.140625" style="283" customWidth="1"/>
    <col min="6403" max="6403" width="6.85546875" style="283" customWidth="1"/>
    <col min="6404" max="6410" width="5.7109375" style="283" customWidth="1"/>
    <col min="6411" max="6411" width="5.140625" style="283" customWidth="1"/>
    <col min="6412" max="6415" width="5.7109375" style="283" customWidth="1"/>
    <col min="6416" max="6416" width="4.140625" style="283" customWidth="1"/>
    <col min="6417" max="6419" width="11.42578125" style="283"/>
    <col min="6420" max="6420" width="16.140625" style="283" customWidth="1"/>
    <col min="6421" max="6656" width="11.42578125" style="283"/>
    <col min="6657" max="6657" width="7.85546875" style="283" customWidth="1"/>
    <col min="6658" max="6658" width="9.140625" style="283" customWidth="1"/>
    <col min="6659" max="6659" width="6.85546875" style="283" customWidth="1"/>
    <col min="6660" max="6666" width="5.7109375" style="283" customWidth="1"/>
    <col min="6667" max="6667" width="5.140625" style="283" customWidth="1"/>
    <col min="6668" max="6671" width="5.7109375" style="283" customWidth="1"/>
    <col min="6672" max="6672" width="4.140625" style="283" customWidth="1"/>
    <col min="6673" max="6675" width="11.42578125" style="283"/>
    <col min="6676" max="6676" width="16.140625" style="283" customWidth="1"/>
    <col min="6677" max="6912" width="11.42578125" style="283"/>
    <col min="6913" max="6913" width="7.85546875" style="283" customWidth="1"/>
    <col min="6914" max="6914" width="9.140625" style="283" customWidth="1"/>
    <col min="6915" max="6915" width="6.85546875" style="283" customWidth="1"/>
    <col min="6916" max="6922" width="5.7109375" style="283" customWidth="1"/>
    <col min="6923" max="6923" width="5.140625" style="283" customWidth="1"/>
    <col min="6924" max="6927" width="5.7109375" style="283" customWidth="1"/>
    <col min="6928" max="6928" width="4.140625" style="283" customWidth="1"/>
    <col min="6929" max="6931" width="11.42578125" style="283"/>
    <col min="6932" max="6932" width="16.140625" style="283" customWidth="1"/>
    <col min="6933" max="7168" width="11.42578125" style="283"/>
    <col min="7169" max="7169" width="7.85546875" style="283" customWidth="1"/>
    <col min="7170" max="7170" width="9.140625" style="283" customWidth="1"/>
    <col min="7171" max="7171" width="6.85546875" style="283" customWidth="1"/>
    <col min="7172" max="7178" width="5.7109375" style="283" customWidth="1"/>
    <col min="7179" max="7179" width="5.140625" style="283" customWidth="1"/>
    <col min="7180" max="7183" width="5.7109375" style="283" customWidth="1"/>
    <col min="7184" max="7184" width="4.140625" style="283" customWidth="1"/>
    <col min="7185" max="7187" width="11.42578125" style="283"/>
    <col min="7188" max="7188" width="16.140625" style="283" customWidth="1"/>
    <col min="7189" max="7424" width="11.42578125" style="283"/>
    <col min="7425" max="7425" width="7.85546875" style="283" customWidth="1"/>
    <col min="7426" max="7426" width="9.140625" style="283" customWidth="1"/>
    <col min="7427" max="7427" width="6.85546875" style="283" customWidth="1"/>
    <col min="7428" max="7434" width="5.7109375" style="283" customWidth="1"/>
    <col min="7435" max="7435" width="5.140625" style="283" customWidth="1"/>
    <col min="7436" max="7439" width="5.7109375" style="283" customWidth="1"/>
    <col min="7440" max="7440" width="4.140625" style="283" customWidth="1"/>
    <col min="7441" max="7443" width="11.42578125" style="283"/>
    <col min="7444" max="7444" width="16.140625" style="283" customWidth="1"/>
    <col min="7445" max="7680" width="11.42578125" style="283"/>
    <col min="7681" max="7681" width="7.85546875" style="283" customWidth="1"/>
    <col min="7682" max="7682" width="9.140625" style="283" customWidth="1"/>
    <col min="7683" max="7683" width="6.85546875" style="283" customWidth="1"/>
    <col min="7684" max="7690" width="5.7109375" style="283" customWidth="1"/>
    <col min="7691" max="7691" width="5.140625" style="283" customWidth="1"/>
    <col min="7692" max="7695" width="5.7109375" style="283" customWidth="1"/>
    <col min="7696" max="7696" width="4.140625" style="283" customWidth="1"/>
    <col min="7697" max="7699" width="11.42578125" style="283"/>
    <col min="7700" max="7700" width="16.140625" style="283" customWidth="1"/>
    <col min="7701" max="7936" width="11.42578125" style="283"/>
    <col min="7937" max="7937" width="7.85546875" style="283" customWidth="1"/>
    <col min="7938" max="7938" width="9.140625" style="283" customWidth="1"/>
    <col min="7939" max="7939" width="6.85546875" style="283" customWidth="1"/>
    <col min="7940" max="7946" width="5.7109375" style="283" customWidth="1"/>
    <col min="7947" max="7947" width="5.140625" style="283" customWidth="1"/>
    <col min="7948" max="7951" width="5.7109375" style="283" customWidth="1"/>
    <col min="7952" max="7952" width="4.140625" style="283" customWidth="1"/>
    <col min="7953" max="7955" width="11.42578125" style="283"/>
    <col min="7956" max="7956" width="16.140625" style="283" customWidth="1"/>
    <col min="7957" max="8192" width="11.42578125" style="283"/>
    <col min="8193" max="8193" width="7.85546875" style="283" customWidth="1"/>
    <col min="8194" max="8194" width="9.140625" style="283" customWidth="1"/>
    <col min="8195" max="8195" width="6.85546875" style="283" customWidth="1"/>
    <col min="8196" max="8202" width="5.7109375" style="283" customWidth="1"/>
    <col min="8203" max="8203" width="5.140625" style="283" customWidth="1"/>
    <col min="8204" max="8207" width="5.7109375" style="283" customWidth="1"/>
    <col min="8208" max="8208" width="4.140625" style="283" customWidth="1"/>
    <col min="8209" max="8211" width="11.42578125" style="283"/>
    <col min="8212" max="8212" width="16.140625" style="283" customWidth="1"/>
    <col min="8213" max="8448" width="11.42578125" style="283"/>
    <col min="8449" max="8449" width="7.85546875" style="283" customWidth="1"/>
    <col min="8450" max="8450" width="9.140625" style="283" customWidth="1"/>
    <col min="8451" max="8451" width="6.85546875" style="283" customWidth="1"/>
    <col min="8452" max="8458" width="5.7109375" style="283" customWidth="1"/>
    <col min="8459" max="8459" width="5.140625" style="283" customWidth="1"/>
    <col min="8460" max="8463" width="5.7109375" style="283" customWidth="1"/>
    <col min="8464" max="8464" width="4.140625" style="283" customWidth="1"/>
    <col min="8465" max="8467" width="11.42578125" style="283"/>
    <col min="8468" max="8468" width="16.140625" style="283" customWidth="1"/>
    <col min="8469" max="8704" width="11.42578125" style="283"/>
    <col min="8705" max="8705" width="7.85546875" style="283" customWidth="1"/>
    <col min="8706" max="8706" width="9.140625" style="283" customWidth="1"/>
    <col min="8707" max="8707" width="6.85546875" style="283" customWidth="1"/>
    <col min="8708" max="8714" width="5.7109375" style="283" customWidth="1"/>
    <col min="8715" max="8715" width="5.140625" style="283" customWidth="1"/>
    <col min="8716" max="8719" width="5.7109375" style="283" customWidth="1"/>
    <col min="8720" max="8720" width="4.140625" style="283" customWidth="1"/>
    <col min="8721" max="8723" width="11.42578125" style="283"/>
    <col min="8724" max="8724" width="16.140625" style="283" customWidth="1"/>
    <col min="8725" max="8960" width="11.42578125" style="283"/>
    <col min="8961" max="8961" width="7.85546875" style="283" customWidth="1"/>
    <col min="8962" max="8962" width="9.140625" style="283" customWidth="1"/>
    <col min="8963" max="8963" width="6.85546875" style="283" customWidth="1"/>
    <col min="8964" max="8970" width="5.7109375" style="283" customWidth="1"/>
    <col min="8971" max="8971" width="5.140625" style="283" customWidth="1"/>
    <col min="8972" max="8975" width="5.7109375" style="283" customWidth="1"/>
    <col min="8976" max="8976" width="4.140625" style="283" customWidth="1"/>
    <col min="8977" max="8979" width="11.42578125" style="283"/>
    <col min="8980" max="8980" width="16.140625" style="283" customWidth="1"/>
    <col min="8981" max="9216" width="11.42578125" style="283"/>
    <col min="9217" max="9217" width="7.85546875" style="283" customWidth="1"/>
    <col min="9218" max="9218" width="9.140625" style="283" customWidth="1"/>
    <col min="9219" max="9219" width="6.85546875" style="283" customWidth="1"/>
    <col min="9220" max="9226" width="5.7109375" style="283" customWidth="1"/>
    <col min="9227" max="9227" width="5.140625" style="283" customWidth="1"/>
    <col min="9228" max="9231" width="5.7109375" style="283" customWidth="1"/>
    <col min="9232" max="9232" width="4.140625" style="283" customWidth="1"/>
    <col min="9233" max="9235" width="11.42578125" style="283"/>
    <col min="9236" max="9236" width="16.140625" style="283" customWidth="1"/>
    <col min="9237" max="9472" width="11.42578125" style="283"/>
    <col min="9473" max="9473" width="7.85546875" style="283" customWidth="1"/>
    <col min="9474" max="9474" width="9.140625" style="283" customWidth="1"/>
    <col min="9475" max="9475" width="6.85546875" style="283" customWidth="1"/>
    <col min="9476" max="9482" width="5.7109375" style="283" customWidth="1"/>
    <col min="9483" max="9483" width="5.140625" style="283" customWidth="1"/>
    <col min="9484" max="9487" width="5.7109375" style="283" customWidth="1"/>
    <col min="9488" max="9488" width="4.140625" style="283" customWidth="1"/>
    <col min="9489" max="9491" width="11.42578125" style="283"/>
    <col min="9492" max="9492" width="16.140625" style="283" customWidth="1"/>
    <col min="9493" max="9728" width="11.42578125" style="283"/>
    <col min="9729" max="9729" width="7.85546875" style="283" customWidth="1"/>
    <col min="9730" max="9730" width="9.140625" style="283" customWidth="1"/>
    <col min="9731" max="9731" width="6.85546875" style="283" customWidth="1"/>
    <col min="9732" max="9738" width="5.7109375" style="283" customWidth="1"/>
    <col min="9739" max="9739" width="5.140625" style="283" customWidth="1"/>
    <col min="9740" max="9743" width="5.7109375" style="283" customWidth="1"/>
    <col min="9744" max="9744" width="4.140625" style="283" customWidth="1"/>
    <col min="9745" max="9747" width="11.42578125" style="283"/>
    <col min="9748" max="9748" width="16.140625" style="283" customWidth="1"/>
    <col min="9749" max="9984" width="11.42578125" style="283"/>
    <col min="9985" max="9985" width="7.85546875" style="283" customWidth="1"/>
    <col min="9986" max="9986" width="9.140625" style="283" customWidth="1"/>
    <col min="9987" max="9987" width="6.85546875" style="283" customWidth="1"/>
    <col min="9988" max="9994" width="5.7109375" style="283" customWidth="1"/>
    <col min="9995" max="9995" width="5.140625" style="283" customWidth="1"/>
    <col min="9996" max="9999" width="5.7109375" style="283" customWidth="1"/>
    <col min="10000" max="10000" width="4.140625" style="283" customWidth="1"/>
    <col min="10001" max="10003" width="11.42578125" style="283"/>
    <col min="10004" max="10004" width="16.140625" style="283" customWidth="1"/>
    <col min="10005" max="10240" width="11.42578125" style="283"/>
    <col min="10241" max="10241" width="7.85546875" style="283" customWidth="1"/>
    <col min="10242" max="10242" width="9.140625" style="283" customWidth="1"/>
    <col min="10243" max="10243" width="6.85546875" style="283" customWidth="1"/>
    <col min="10244" max="10250" width="5.7109375" style="283" customWidth="1"/>
    <col min="10251" max="10251" width="5.140625" style="283" customWidth="1"/>
    <col min="10252" max="10255" width="5.7109375" style="283" customWidth="1"/>
    <col min="10256" max="10256" width="4.140625" style="283" customWidth="1"/>
    <col min="10257" max="10259" width="11.42578125" style="283"/>
    <col min="10260" max="10260" width="16.140625" style="283" customWidth="1"/>
    <col min="10261" max="10496" width="11.42578125" style="283"/>
    <col min="10497" max="10497" width="7.85546875" style="283" customWidth="1"/>
    <col min="10498" max="10498" width="9.140625" style="283" customWidth="1"/>
    <col min="10499" max="10499" width="6.85546875" style="283" customWidth="1"/>
    <col min="10500" max="10506" width="5.7109375" style="283" customWidth="1"/>
    <col min="10507" max="10507" width="5.140625" style="283" customWidth="1"/>
    <col min="10508" max="10511" width="5.7109375" style="283" customWidth="1"/>
    <col min="10512" max="10512" width="4.140625" style="283" customWidth="1"/>
    <col min="10513" max="10515" width="11.42578125" style="283"/>
    <col min="10516" max="10516" width="16.140625" style="283" customWidth="1"/>
    <col min="10517" max="10752" width="11.42578125" style="283"/>
    <col min="10753" max="10753" width="7.85546875" style="283" customWidth="1"/>
    <col min="10754" max="10754" width="9.140625" style="283" customWidth="1"/>
    <col min="10755" max="10755" width="6.85546875" style="283" customWidth="1"/>
    <col min="10756" max="10762" width="5.7109375" style="283" customWidth="1"/>
    <col min="10763" max="10763" width="5.140625" style="283" customWidth="1"/>
    <col min="10764" max="10767" width="5.7109375" style="283" customWidth="1"/>
    <col min="10768" max="10768" width="4.140625" style="283" customWidth="1"/>
    <col min="10769" max="10771" width="11.42578125" style="283"/>
    <col min="10772" max="10772" width="16.140625" style="283" customWidth="1"/>
    <col min="10773" max="11008" width="11.42578125" style="283"/>
    <col min="11009" max="11009" width="7.85546875" style="283" customWidth="1"/>
    <col min="11010" max="11010" width="9.140625" style="283" customWidth="1"/>
    <col min="11011" max="11011" width="6.85546875" style="283" customWidth="1"/>
    <col min="11012" max="11018" width="5.7109375" style="283" customWidth="1"/>
    <col min="11019" max="11019" width="5.140625" style="283" customWidth="1"/>
    <col min="11020" max="11023" width="5.7109375" style="283" customWidth="1"/>
    <col min="11024" max="11024" width="4.140625" style="283" customWidth="1"/>
    <col min="11025" max="11027" width="11.42578125" style="283"/>
    <col min="11028" max="11028" width="16.140625" style="283" customWidth="1"/>
    <col min="11029" max="11264" width="11.42578125" style="283"/>
    <col min="11265" max="11265" width="7.85546875" style="283" customWidth="1"/>
    <col min="11266" max="11266" width="9.140625" style="283" customWidth="1"/>
    <col min="11267" max="11267" width="6.85546875" style="283" customWidth="1"/>
    <col min="11268" max="11274" width="5.7109375" style="283" customWidth="1"/>
    <col min="11275" max="11275" width="5.140625" style="283" customWidth="1"/>
    <col min="11276" max="11279" width="5.7109375" style="283" customWidth="1"/>
    <col min="11280" max="11280" width="4.140625" style="283" customWidth="1"/>
    <col min="11281" max="11283" width="11.42578125" style="283"/>
    <col min="11284" max="11284" width="16.140625" style="283" customWidth="1"/>
    <col min="11285" max="11520" width="11.42578125" style="283"/>
    <col min="11521" max="11521" width="7.85546875" style="283" customWidth="1"/>
    <col min="11522" max="11522" width="9.140625" style="283" customWidth="1"/>
    <col min="11523" max="11523" width="6.85546875" style="283" customWidth="1"/>
    <col min="11524" max="11530" width="5.7109375" style="283" customWidth="1"/>
    <col min="11531" max="11531" width="5.140625" style="283" customWidth="1"/>
    <col min="11532" max="11535" width="5.7109375" style="283" customWidth="1"/>
    <col min="11536" max="11536" width="4.140625" style="283" customWidth="1"/>
    <col min="11537" max="11539" width="11.42578125" style="283"/>
    <col min="11540" max="11540" width="16.140625" style="283" customWidth="1"/>
    <col min="11541" max="11776" width="11.42578125" style="283"/>
    <col min="11777" max="11777" width="7.85546875" style="283" customWidth="1"/>
    <col min="11778" max="11778" width="9.140625" style="283" customWidth="1"/>
    <col min="11779" max="11779" width="6.85546875" style="283" customWidth="1"/>
    <col min="11780" max="11786" width="5.7109375" style="283" customWidth="1"/>
    <col min="11787" max="11787" width="5.140625" style="283" customWidth="1"/>
    <col min="11788" max="11791" width="5.7109375" style="283" customWidth="1"/>
    <col min="11792" max="11792" width="4.140625" style="283" customWidth="1"/>
    <col min="11793" max="11795" width="11.42578125" style="283"/>
    <col min="11796" max="11796" width="16.140625" style="283" customWidth="1"/>
    <col min="11797" max="12032" width="11.42578125" style="283"/>
    <col min="12033" max="12033" width="7.85546875" style="283" customWidth="1"/>
    <col min="12034" max="12034" width="9.140625" style="283" customWidth="1"/>
    <col min="12035" max="12035" width="6.85546875" style="283" customWidth="1"/>
    <col min="12036" max="12042" width="5.7109375" style="283" customWidth="1"/>
    <col min="12043" max="12043" width="5.140625" style="283" customWidth="1"/>
    <col min="12044" max="12047" width="5.7109375" style="283" customWidth="1"/>
    <col min="12048" max="12048" width="4.140625" style="283" customWidth="1"/>
    <col min="12049" max="12051" width="11.42578125" style="283"/>
    <col min="12052" max="12052" width="16.140625" style="283" customWidth="1"/>
    <col min="12053" max="12288" width="11.42578125" style="283"/>
    <col min="12289" max="12289" width="7.85546875" style="283" customWidth="1"/>
    <col min="12290" max="12290" width="9.140625" style="283" customWidth="1"/>
    <col min="12291" max="12291" width="6.85546875" style="283" customWidth="1"/>
    <col min="12292" max="12298" width="5.7109375" style="283" customWidth="1"/>
    <col min="12299" max="12299" width="5.140625" style="283" customWidth="1"/>
    <col min="12300" max="12303" width="5.7109375" style="283" customWidth="1"/>
    <col min="12304" max="12304" width="4.140625" style="283" customWidth="1"/>
    <col min="12305" max="12307" width="11.42578125" style="283"/>
    <col min="12308" max="12308" width="16.140625" style="283" customWidth="1"/>
    <col min="12309" max="12544" width="11.42578125" style="283"/>
    <col min="12545" max="12545" width="7.85546875" style="283" customWidth="1"/>
    <col min="12546" max="12546" width="9.140625" style="283" customWidth="1"/>
    <col min="12547" max="12547" width="6.85546875" style="283" customWidth="1"/>
    <col min="12548" max="12554" width="5.7109375" style="283" customWidth="1"/>
    <col min="12555" max="12555" width="5.140625" style="283" customWidth="1"/>
    <col min="12556" max="12559" width="5.7109375" style="283" customWidth="1"/>
    <col min="12560" max="12560" width="4.140625" style="283" customWidth="1"/>
    <col min="12561" max="12563" width="11.42578125" style="283"/>
    <col min="12564" max="12564" width="16.140625" style="283" customWidth="1"/>
    <col min="12565" max="12800" width="11.42578125" style="283"/>
    <col min="12801" max="12801" width="7.85546875" style="283" customWidth="1"/>
    <col min="12802" max="12802" width="9.140625" style="283" customWidth="1"/>
    <col min="12803" max="12803" width="6.85546875" style="283" customWidth="1"/>
    <col min="12804" max="12810" width="5.7109375" style="283" customWidth="1"/>
    <col min="12811" max="12811" width="5.140625" style="283" customWidth="1"/>
    <col min="12812" max="12815" width="5.7109375" style="283" customWidth="1"/>
    <col min="12816" max="12816" width="4.140625" style="283" customWidth="1"/>
    <col min="12817" max="12819" width="11.42578125" style="283"/>
    <col min="12820" max="12820" width="16.140625" style="283" customWidth="1"/>
    <col min="12821" max="13056" width="11.42578125" style="283"/>
    <col min="13057" max="13057" width="7.85546875" style="283" customWidth="1"/>
    <col min="13058" max="13058" width="9.140625" style="283" customWidth="1"/>
    <col min="13059" max="13059" width="6.85546875" style="283" customWidth="1"/>
    <col min="13060" max="13066" width="5.7109375" style="283" customWidth="1"/>
    <col min="13067" max="13067" width="5.140625" style="283" customWidth="1"/>
    <col min="13068" max="13071" width="5.7109375" style="283" customWidth="1"/>
    <col min="13072" max="13072" width="4.140625" style="283" customWidth="1"/>
    <col min="13073" max="13075" width="11.42578125" style="283"/>
    <col min="13076" max="13076" width="16.140625" style="283" customWidth="1"/>
    <col min="13077" max="13312" width="11.42578125" style="283"/>
    <col min="13313" max="13313" width="7.85546875" style="283" customWidth="1"/>
    <col min="13314" max="13314" width="9.140625" style="283" customWidth="1"/>
    <col min="13315" max="13315" width="6.85546875" style="283" customWidth="1"/>
    <col min="13316" max="13322" width="5.7109375" style="283" customWidth="1"/>
    <col min="13323" max="13323" width="5.140625" style="283" customWidth="1"/>
    <col min="13324" max="13327" width="5.7109375" style="283" customWidth="1"/>
    <col min="13328" max="13328" width="4.140625" style="283" customWidth="1"/>
    <col min="13329" max="13331" width="11.42578125" style="283"/>
    <col min="13332" max="13332" width="16.140625" style="283" customWidth="1"/>
    <col min="13333" max="13568" width="11.42578125" style="283"/>
    <col min="13569" max="13569" width="7.85546875" style="283" customWidth="1"/>
    <col min="13570" max="13570" width="9.140625" style="283" customWidth="1"/>
    <col min="13571" max="13571" width="6.85546875" style="283" customWidth="1"/>
    <col min="13572" max="13578" width="5.7109375" style="283" customWidth="1"/>
    <col min="13579" max="13579" width="5.140625" style="283" customWidth="1"/>
    <col min="13580" max="13583" width="5.7109375" style="283" customWidth="1"/>
    <col min="13584" max="13584" width="4.140625" style="283" customWidth="1"/>
    <col min="13585" max="13587" width="11.42578125" style="283"/>
    <col min="13588" max="13588" width="16.140625" style="283" customWidth="1"/>
    <col min="13589" max="13824" width="11.42578125" style="283"/>
    <col min="13825" max="13825" width="7.85546875" style="283" customWidth="1"/>
    <col min="13826" max="13826" width="9.140625" style="283" customWidth="1"/>
    <col min="13827" max="13827" width="6.85546875" style="283" customWidth="1"/>
    <col min="13828" max="13834" width="5.7109375" style="283" customWidth="1"/>
    <col min="13835" max="13835" width="5.140625" style="283" customWidth="1"/>
    <col min="13836" max="13839" width="5.7109375" style="283" customWidth="1"/>
    <col min="13840" max="13840" width="4.140625" style="283" customWidth="1"/>
    <col min="13841" max="13843" width="11.42578125" style="283"/>
    <col min="13844" max="13844" width="16.140625" style="283" customWidth="1"/>
    <col min="13845" max="14080" width="11.42578125" style="283"/>
    <col min="14081" max="14081" width="7.85546875" style="283" customWidth="1"/>
    <col min="14082" max="14082" width="9.140625" style="283" customWidth="1"/>
    <col min="14083" max="14083" width="6.85546875" style="283" customWidth="1"/>
    <col min="14084" max="14090" width="5.7109375" style="283" customWidth="1"/>
    <col min="14091" max="14091" width="5.140625" style="283" customWidth="1"/>
    <col min="14092" max="14095" width="5.7109375" style="283" customWidth="1"/>
    <col min="14096" max="14096" width="4.140625" style="283" customWidth="1"/>
    <col min="14097" max="14099" width="11.42578125" style="283"/>
    <col min="14100" max="14100" width="16.140625" style="283" customWidth="1"/>
    <col min="14101" max="14336" width="11.42578125" style="283"/>
    <col min="14337" max="14337" width="7.85546875" style="283" customWidth="1"/>
    <col min="14338" max="14338" width="9.140625" style="283" customWidth="1"/>
    <col min="14339" max="14339" width="6.85546875" style="283" customWidth="1"/>
    <col min="14340" max="14346" width="5.7109375" style="283" customWidth="1"/>
    <col min="14347" max="14347" width="5.140625" style="283" customWidth="1"/>
    <col min="14348" max="14351" width="5.7109375" style="283" customWidth="1"/>
    <col min="14352" max="14352" width="4.140625" style="283" customWidth="1"/>
    <col min="14353" max="14355" width="11.42578125" style="283"/>
    <col min="14356" max="14356" width="16.140625" style="283" customWidth="1"/>
    <col min="14357" max="14592" width="11.42578125" style="283"/>
    <col min="14593" max="14593" width="7.85546875" style="283" customWidth="1"/>
    <col min="14594" max="14594" width="9.140625" style="283" customWidth="1"/>
    <col min="14595" max="14595" width="6.85546875" style="283" customWidth="1"/>
    <col min="14596" max="14602" width="5.7109375" style="283" customWidth="1"/>
    <col min="14603" max="14603" width="5.140625" style="283" customWidth="1"/>
    <col min="14604" max="14607" width="5.7109375" style="283" customWidth="1"/>
    <col min="14608" max="14608" width="4.140625" style="283" customWidth="1"/>
    <col min="14609" max="14611" width="11.42578125" style="283"/>
    <col min="14612" max="14612" width="16.140625" style="283" customWidth="1"/>
    <col min="14613" max="14848" width="11.42578125" style="283"/>
    <col min="14849" max="14849" width="7.85546875" style="283" customWidth="1"/>
    <col min="14850" max="14850" width="9.140625" style="283" customWidth="1"/>
    <col min="14851" max="14851" width="6.85546875" style="283" customWidth="1"/>
    <col min="14852" max="14858" width="5.7109375" style="283" customWidth="1"/>
    <col min="14859" max="14859" width="5.140625" style="283" customWidth="1"/>
    <col min="14860" max="14863" width="5.7109375" style="283" customWidth="1"/>
    <col min="14864" max="14864" width="4.140625" style="283" customWidth="1"/>
    <col min="14865" max="14867" width="11.42578125" style="283"/>
    <col min="14868" max="14868" width="16.140625" style="283" customWidth="1"/>
    <col min="14869" max="15104" width="11.42578125" style="283"/>
    <col min="15105" max="15105" width="7.85546875" style="283" customWidth="1"/>
    <col min="15106" max="15106" width="9.140625" style="283" customWidth="1"/>
    <col min="15107" max="15107" width="6.85546875" style="283" customWidth="1"/>
    <col min="15108" max="15114" width="5.7109375" style="283" customWidth="1"/>
    <col min="15115" max="15115" width="5.140625" style="283" customWidth="1"/>
    <col min="15116" max="15119" width="5.7109375" style="283" customWidth="1"/>
    <col min="15120" max="15120" width="4.140625" style="283" customWidth="1"/>
    <col min="15121" max="15123" width="11.42578125" style="283"/>
    <col min="15124" max="15124" width="16.140625" style="283" customWidth="1"/>
    <col min="15125" max="15360" width="11.42578125" style="283"/>
    <col min="15361" max="15361" width="7.85546875" style="283" customWidth="1"/>
    <col min="15362" max="15362" width="9.140625" style="283" customWidth="1"/>
    <col min="15363" max="15363" width="6.85546875" style="283" customWidth="1"/>
    <col min="15364" max="15370" width="5.7109375" style="283" customWidth="1"/>
    <col min="15371" max="15371" width="5.140625" style="283" customWidth="1"/>
    <col min="15372" max="15375" width="5.7109375" style="283" customWidth="1"/>
    <col min="15376" max="15376" width="4.140625" style="283" customWidth="1"/>
    <col min="15377" max="15379" width="11.42578125" style="283"/>
    <col min="15380" max="15380" width="16.140625" style="283" customWidth="1"/>
    <col min="15381" max="15616" width="11.42578125" style="283"/>
    <col min="15617" max="15617" width="7.85546875" style="283" customWidth="1"/>
    <col min="15618" max="15618" width="9.140625" style="283" customWidth="1"/>
    <col min="15619" max="15619" width="6.85546875" style="283" customWidth="1"/>
    <col min="15620" max="15626" width="5.7109375" style="283" customWidth="1"/>
    <col min="15627" max="15627" width="5.140625" style="283" customWidth="1"/>
    <col min="15628" max="15631" width="5.7109375" style="283" customWidth="1"/>
    <col min="15632" max="15632" width="4.140625" style="283" customWidth="1"/>
    <col min="15633" max="15635" width="11.42578125" style="283"/>
    <col min="15636" max="15636" width="16.140625" style="283" customWidth="1"/>
    <col min="15637" max="15872" width="11.42578125" style="283"/>
    <col min="15873" max="15873" width="7.85546875" style="283" customWidth="1"/>
    <col min="15874" max="15874" width="9.140625" style="283" customWidth="1"/>
    <col min="15875" max="15875" width="6.85546875" style="283" customWidth="1"/>
    <col min="15876" max="15882" width="5.7109375" style="283" customWidth="1"/>
    <col min="15883" max="15883" width="5.140625" style="283" customWidth="1"/>
    <col min="15884" max="15887" width="5.7109375" style="283" customWidth="1"/>
    <col min="15888" max="15888" width="4.140625" style="283" customWidth="1"/>
    <col min="15889" max="15891" width="11.42578125" style="283"/>
    <col min="15892" max="15892" width="16.140625" style="283" customWidth="1"/>
    <col min="15893" max="16128" width="11.42578125" style="283"/>
    <col min="16129" max="16129" width="7.85546875" style="283" customWidth="1"/>
    <col min="16130" max="16130" width="9.140625" style="283" customWidth="1"/>
    <col min="16131" max="16131" width="6.85546875" style="283" customWidth="1"/>
    <col min="16132" max="16138" width="5.7109375" style="283" customWidth="1"/>
    <col min="16139" max="16139" width="5.140625" style="283" customWidth="1"/>
    <col min="16140" max="16143" width="5.7109375" style="283" customWidth="1"/>
    <col min="16144" max="16144" width="4.140625" style="283" customWidth="1"/>
    <col min="16145" max="16147" width="11.42578125" style="283"/>
    <col min="16148" max="16148" width="16.140625" style="283" customWidth="1"/>
    <col min="16149" max="16384" width="11.42578125" style="283"/>
  </cols>
  <sheetData>
    <row r="1" spans="1:25" ht="60.75" customHeight="1">
      <c r="A1" s="470" t="s">
        <v>130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Y1" s="128"/>
    </row>
    <row r="2" spans="1:25" ht="15" customHeight="1">
      <c r="A2" s="459" t="s">
        <v>14</v>
      </c>
      <c r="B2" s="459"/>
      <c r="C2" s="469" t="str">
        <f>'CALCULO SELLO CALIZO'!B2</f>
        <v>SAN LUIS DEL CORDERO - SAN PEDRO DEL GALLO</v>
      </c>
      <c r="D2" s="469"/>
      <c r="E2" s="469"/>
      <c r="F2" s="469"/>
      <c r="G2" s="469"/>
      <c r="H2" s="469"/>
      <c r="I2" s="469"/>
      <c r="J2" s="469"/>
      <c r="K2" s="289" t="s">
        <v>0</v>
      </c>
      <c r="L2" s="289"/>
      <c r="M2" s="471">
        <f>'CALCULO POLVILLO ARENAS'!H2+1</f>
        <v>635</v>
      </c>
      <c r="N2" s="471"/>
      <c r="O2" s="471"/>
      <c r="P2" s="471"/>
    </row>
    <row r="3" spans="1:25" ht="15" customHeight="1">
      <c r="A3" s="459"/>
      <c r="B3" s="459"/>
      <c r="C3" s="469"/>
      <c r="D3" s="469"/>
      <c r="E3" s="469"/>
      <c r="F3" s="469"/>
      <c r="G3" s="469"/>
      <c r="H3" s="469"/>
      <c r="I3" s="469"/>
      <c r="J3" s="469"/>
      <c r="K3" s="472" t="s">
        <v>1</v>
      </c>
      <c r="L3" s="472"/>
      <c r="M3" s="472"/>
      <c r="N3" s="473">
        <f>'CALCULO POLVILLO ARENAS'!H3</f>
        <v>42341</v>
      </c>
      <c r="O3" s="471"/>
      <c r="P3" s="471"/>
    </row>
    <row r="4" spans="1:25" ht="15" customHeight="1">
      <c r="A4" s="459"/>
      <c r="B4" s="459"/>
      <c r="C4" s="469"/>
      <c r="D4" s="469"/>
      <c r="E4" s="469"/>
      <c r="F4" s="469"/>
      <c r="G4" s="469"/>
      <c r="H4" s="469"/>
      <c r="I4" s="469"/>
      <c r="J4" s="469"/>
      <c r="K4" s="472" t="s">
        <v>2</v>
      </c>
      <c r="L4" s="472"/>
      <c r="M4" s="472"/>
      <c r="N4" s="473">
        <f>'CALCULO POLVILLO ARENAS'!H4</f>
        <v>42345</v>
      </c>
      <c r="O4" s="471"/>
      <c r="P4" s="471"/>
      <c r="V4" s="140">
        <v>2</v>
      </c>
      <c r="W4" s="140">
        <v>6</v>
      </c>
    </row>
    <row r="5" spans="1:25" ht="3.75" customHeight="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</row>
    <row r="6" spans="1:25" ht="14.25" customHeight="1">
      <c r="A6" s="474" t="s">
        <v>179</v>
      </c>
      <c r="B6" s="474"/>
      <c r="C6" s="474"/>
      <c r="D6" s="474"/>
      <c r="E6" s="474"/>
      <c r="F6" s="474"/>
      <c r="G6" s="474"/>
      <c r="H6" s="474"/>
      <c r="I6" s="474"/>
      <c r="J6" s="474"/>
      <c r="K6" s="474"/>
      <c r="L6" s="474"/>
      <c r="M6" s="474"/>
      <c r="N6" s="474"/>
      <c r="O6" s="474"/>
      <c r="P6" s="474"/>
    </row>
    <row r="7" spans="1:25" ht="0.75" hidden="1" customHeight="1">
      <c r="A7" s="474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74"/>
      <c r="M7" s="474"/>
      <c r="N7" s="474"/>
      <c r="O7" s="474"/>
      <c r="P7" s="474"/>
    </row>
    <row r="8" spans="1:25" ht="24" customHeight="1">
      <c r="A8" s="458" t="s">
        <v>131</v>
      </c>
      <c r="B8" s="458" t="s">
        <v>132</v>
      </c>
      <c r="C8" s="462" t="s">
        <v>133</v>
      </c>
      <c r="D8" s="458" t="s">
        <v>134</v>
      </c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</row>
    <row r="9" spans="1:25" ht="28.5" customHeight="1">
      <c r="A9" s="458"/>
      <c r="B9" s="458"/>
      <c r="C9" s="462"/>
      <c r="D9" s="130">
        <v>25</v>
      </c>
      <c r="E9" s="130">
        <v>19</v>
      </c>
      <c r="F9" s="130">
        <v>12.5</v>
      </c>
      <c r="G9" s="290">
        <v>9.5</v>
      </c>
      <c r="H9" s="290">
        <v>6.3</v>
      </c>
      <c r="I9" s="290">
        <v>4.75</v>
      </c>
      <c r="J9" s="284">
        <v>10</v>
      </c>
      <c r="K9" s="284">
        <v>20</v>
      </c>
      <c r="L9" s="284">
        <v>40</v>
      </c>
      <c r="M9" s="284">
        <v>60</v>
      </c>
      <c r="N9" s="284">
        <v>100</v>
      </c>
      <c r="O9" s="284">
        <v>200</v>
      </c>
      <c r="P9" s="284"/>
      <c r="U9" s="350"/>
      <c r="V9" s="350"/>
      <c r="W9" s="350"/>
      <c r="X9" s="350"/>
      <c r="Y9" s="350"/>
    </row>
    <row r="10" spans="1:25">
      <c r="A10" s="349" t="str">
        <f>'CALCULO SELLO CALIZO'!G12</f>
        <v>SELLO CALIZO</v>
      </c>
      <c r="B10" s="282">
        <f>'CALCULO SELLO CALIZO'!H11</f>
        <v>1473.853550295858</v>
      </c>
      <c r="C10" s="290">
        <v>0.3</v>
      </c>
      <c r="D10" s="282">
        <f>'CALCULO SELLO CALIZO'!F12</f>
        <v>100</v>
      </c>
      <c r="E10" s="282">
        <f>'CALCULO SELLO CALIZO'!F13</f>
        <v>100</v>
      </c>
      <c r="F10" s="282">
        <f>'CALCULO SELLO CALIZO'!F14</f>
        <v>100</v>
      </c>
      <c r="G10" s="282">
        <f>'CALCULO SELLO CALIZO'!F15</f>
        <v>99.749077861139682</v>
      </c>
      <c r="H10" s="282">
        <f>'CALCULO SELLO CALIZO'!F16</f>
        <v>75.133616038943103</v>
      </c>
      <c r="I10" s="282">
        <f>'CALCULO SELLO CALIZO'!F17</f>
        <v>53.167892003111419</v>
      </c>
      <c r="J10" s="282">
        <f>'CALCULO SELLO CALIZO'!F18</f>
        <v>2.923242917722618</v>
      </c>
      <c r="K10" s="282">
        <f>'CALCULO SELLO CALIZO'!F19</f>
        <v>2.0550523172659396</v>
      </c>
      <c r="L10" s="282">
        <f>'CALCULO SELLO CALIZO'!F20</f>
        <v>0.44162296439413562</v>
      </c>
      <c r="M10" s="282">
        <f>'CALCULO SELLO CALIZO'!F21</f>
        <v>0.44162296439413562</v>
      </c>
      <c r="N10" s="282">
        <f>'CALCULO SELLO CALIZO'!F22</f>
        <v>0.44162296439413562</v>
      </c>
      <c r="O10" s="282">
        <f>'CALCULO SELLO CALIZO'!F23</f>
        <v>0.44162296439413562</v>
      </c>
      <c r="P10" s="284" t="s">
        <v>135</v>
      </c>
      <c r="U10" s="350"/>
      <c r="V10" s="350"/>
      <c r="W10" s="350"/>
      <c r="X10" s="350"/>
      <c r="Y10" s="350"/>
    </row>
    <row r="11" spans="1:25" ht="16.5">
      <c r="A11" s="349" t="str">
        <f>'CALCULO SELLO RELOTICO'!G12</f>
        <v>SELLO REOLITICO</v>
      </c>
      <c r="B11" s="282">
        <f>'CALCULO SELLO RELOTICO'!H11</f>
        <v>1253.5502958579882</v>
      </c>
      <c r="C11" s="290">
        <v>0.2</v>
      </c>
      <c r="D11" s="282">
        <f>'CALCULO SELLO RELOTICO'!F12</f>
        <v>100</v>
      </c>
      <c r="E11" s="282">
        <f>'CALCULO SELLO RELOTICO'!F13</f>
        <v>100</v>
      </c>
      <c r="F11" s="282">
        <f>'CALCULO SELLO RELOTICO'!F14</f>
        <v>100</v>
      </c>
      <c r="G11" s="282">
        <f>'CALCULO SELLO RELOTICO'!F15</f>
        <v>98.610455510974745</v>
      </c>
      <c r="H11" s="282">
        <f>'CALCULO SELLO RELOTICO'!F16</f>
        <v>38.438163795138081</v>
      </c>
      <c r="I11" s="282">
        <f>'CALCULO SELLO RELOTICO'!F17</f>
        <v>11.252065140429561</v>
      </c>
      <c r="J11" s="282">
        <f>'CALCULO SELLO RELOTICO'!F18</f>
        <v>1.2685862638659557</v>
      </c>
      <c r="K11" s="282">
        <f>'CALCULO SELLO RELOTICO'!F19</f>
        <v>0.94996459759264917</v>
      </c>
      <c r="L11" s="282">
        <f>'CALCULO SELLO RELOTICO'!F20</f>
        <v>0.24191645031863462</v>
      </c>
      <c r="M11" s="282">
        <f>'CALCULO SELLO RELOTICO'!F21</f>
        <v>0.24191645031863462</v>
      </c>
      <c r="N11" s="282">
        <f>'CALCULO SELLO RELOTICO'!F22</f>
        <v>0.24191645031863462</v>
      </c>
      <c r="O11" s="282">
        <f>'CALCULO SELLO RELOTICO'!F23</f>
        <v>0.24191645031863462</v>
      </c>
      <c r="P11" s="284" t="s">
        <v>136</v>
      </c>
      <c r="U11" s="350"/>
      <c r="V11" s="350"/>
      <c r="W11" s="350"/>
      <c r="X11" s="350"/>
      <c r="Y11" s="350"/>
    </row>
    <row r="12" spans="1:25" ht="16.5">
      <c r="A12" s="349" t="str">
        <f>'CALCULO POLVILLO ARENAS'!G12</f>
        <v>POLVILLO 3/16"</v>
      </c>
      <c r="B12" s="282">
        <f>'CALCULO POLVILLO ARENAS'!H11</f>
        <v>1662.4999999999998</v>
      </c>
      <c r="C12" s="290">
        <v>0.5</v>
      </c>
      <c r="D12" s="282">
        <f>'CALCULO POLVILLO ARENAS'!F12</f>
        <v>100</v>
      </c>
      <c r="E12" s="332">
        <f>'CALCULO POLVILLO ARENAS'!F13</f>
        <v>100</v>
      </c>
      <c r="F12" s="332">
        <f>'CALCULO POLVILLO ARENAS'!F14</f>
        <v>100</v>
      </c>
      <c r="G12" s="332">
        <f>'CALCULO POLVILLO ARENAS'!F15</f>
        <v>100</v>
      </c>
      <c r="H12" s="332">
        <f>'CALCULO POLVILLO ARENAS'!F16</f>
        <v>100</v>
      </c>
      <c r="I12" s="332">
        <f>'CALCULO POLVILLO ARENAS'!F17</f>
        <v>100</v>
      </c>
      <c r="J12" s="332">
        <f>'CALCULO POLVILLO ARENAS'!F18</f>
        <v>72.457966373098486</v>
      </c>
      <c r="K12" s="332">
        <f>'CALCULO POLVILLO ARENAS'!F19</f>
        <v>44.815852682145731</v>
      </c>
      <c r="L12" s="332">
        <f>'CALCULO POLVILLO ARENAS'!F20</f>
        <v>29.163330664531642</v>
      </c>
      <c r="M12" s="332">
        <f>'CALCULO POLVILLO ARENAS'!F21</f>
        <v>20.756605284227398</v>
      </c>
      <c r="N12" s="332">
        <f>'CALCULO POLVILLO ARENAS'!F22</f>
        <v>17.05364291433148</v>
      </c>
      <c r="O12" s="332">
        <f>'CALCULO POLVILLO ARENAS'!F23</f>
        <v>12.16973578863092</v>
      </c>
      <c r="P12" s="284" t="s">
        <v>137</v>
      </c>
      <c r="U12" s="350"/>
      <c r="V12" s="350"/>
      <c r="W12" s="350"/>
      <c r="X12" s="350"/>
      <c r="Y12" s="350"/>
    </row>
    <row r="13" spans="1:25" s="347" customFormat="1">
      <c r="A13" s="344" t="str">
        <f>'CALCULO POLVILLO ARENAS'!B4</f>
        <v>EN BANCO</v>
      </c>
      <c r="B13" s="345">
        <f>'CALCULO POLVILLO ARENAS'!H11</f>
        <v>1662.4999999999998</v>
      </c>
      <c r="C13" s="344">
        <v>0</v>
      </c>
      <c r="D13" s="345">
        <f>'CALCULO POLVILLO ARENAS'!F12</f>
        <v>100</v>
      </c>
      <c r="E13" s="345">
        <f>'CALCULO POLVILLO ARENAS'!F13</f>
        <v>100</v>
      </c>
      <c r="F13" s="345">
        <f>'CALCULO POLVILLO ARENAS'!F14</f>
        <v>100</v>
      </c>
      <c r="G13" s="345">
        <f>'CALCULO POLVILLO ARENAS'!F15</f>
        <v>100</v>
      </c>
      <c r="H13" s="345">
        <f>'CALCULO POLVILLO ARENAS'!F16</f>
        <v>100</v>
      </c>
      <c r="I13" s="345">
        <f>'CALCULO POLVILLO ARENAS'!F17</f>
        <v>100</v>
      </c>
      <c r="J13" s="345">
        <f>'CALCULO POLVILLO ARENAS'!F18</f>
        <v>72.457966373098486</v>
      </c>
      <c r="K13" s="345">
        <f>'CALCULO POLVILLO ARENAS'!F19</f>
        <v>44.815852682145731</v>
      </c>
      <c r="L13" s="345">
        <f>'CALCULO POLVILLO ARENAS'!F20</f>
        <v>29.163330664531642</v>
      </c>
      <c r="M13" s="345">
        <f>'CALCULO POLVILLO ARENAS'!F21</f>
        <v>20.756605284227398</v>
      </c>
      <c r="N13" s="345">
        <f>'CALCULO POLVILLO ARENAS'!F22</f>
        <v>17.05364291433148</v>
      </c>
      <c r="O13" s="345">
        <f>'CALCULO POLVILLO ARENAS'!F23</f>
        <v>12.16973578863092</v>
      </c>
      <c r="P13" s="346" t="s">
        <v>176</v>
      </c>
      <c r="U13" s="348"/>
    </row>
    <row r="14" spans="1:25" ht="15" customHeight="1">
      <c r="A14" s="458" t="s">
        <v>131</v>
      </c>
      <c r="B14" s="458" t="s">
        <v>132</v>
      </c>
      <c r="C14" s="462" t="s">
        <v>133</v>
      </c>
      <c r="D14" s="463" t="s">
        <v>456</v>
      </c>
      <c r="E14" s="464"/>
      <c r="F14" s="464"/>
      <c r="G14" s="464"/>
      <c r="H14" s="464"/>
      <c r="I14" s="464"/>
      <c r="J14" s="464"/>
      <c r="K14" s="465"/>
      <c r="L14" s="476" t="s">
        <v>138</v>
      </c>
      <c r="M14" s="476"/>
      <c r="N14" s="476" t="s">
        <v>139</v>
      </c>
      <c r="O14" s="476"/>
      <c r="P14" s="476"/>
    </row>
    <row r="15" spans="1:25">
      <c r="A15" s="458"/>
      <c r="B15" s="458"/>
      <c r="C15" s="462"/>
      <c r="D15" s="466"/>
      <c r="E15" s="467"/>
      <c r="F15" s="467"/>
      <c r="G15" s="467"/>
      <c r="H15" s="467"/>
      <c r="I15" s="467"/>
      <c r="J15" s="467"/>
      <c r="K15" s="468"/>
      <c r="L15" s="477">
        <f>'CALCULO MEZCLA FISICA'!G33</f>
        <v>1.9937184214119927</v>
      </c>
      <c r="M15" s="477"/>
      <c r="N15" s="477">
        <f>'CALCULO MEZCLA FISICA'!G32</f>
        <v>2.6370183651422403</v>
      </c>
      <c r="O15" s="477"/>
      <c r="P15" s="477"/>
      <c r="V15" s="150"/>
      <c r="W15" s="150"/>
      <c r="X15" s="150"/>
      <c r="Y15" s="150"/>
    </row>
    <row r="16" spans="1:25">
      <c r="A16" s="349" t="str">
        <f t="shared" ref="A16:C19" si="0">A10</f>
        <v>SELLO CALIZO</v>
      </c>
      <c r="B16" s="282">
        <f t="shared" si="0"/>
        <v>1473.853550295858</v>
      </c>
      <c r="C16" s="290">
        <f t="shared" si="0"/>
        <v>0.3</v>
      </c>
      <c r="D16" s="282">
        <f>D10*C10</f>
        <v>30</v>
      </c>
      <c r="E16" s="282">
        <f>E10*C10</f>
        <v>30</v>
      </c>
      <c r="F16" s="282">
        <f>F10*C10</f>
        <v>30</v>
      </c>
      <c r="G16" s="282">
        <f>G10*C10</f>
        <v>29.924723358341904</v>
      </c>
      <c r="H16" s="282">
        <f>H10*C10</f>
        <v>22.540084811682931</v>
      </c>
      <c r="I16" s="282">
        <f>I10*C10</f>
        <v>15.950367600933426</v>
      </c>
      <c r="J16" s="282">
        <f>J10*C10</f>
        <v>0.87697287531678536</v>
      </c>
      <c r="K16" s="282">
        <f>K10*C10</f>
        <v>0.61651569517978189</v>
      </c>
      <c r="L16" s="282">
        <f>L10*C10</f>
        <v>0.13248688931824068</v>
      </c>
      <c r="M16" s="282">
        <f>M10*C16</f>
        <v>0.13248688931824068</v>
      </c>
      <c r="N16" s="282">
        <f>N10*C16</f>
        <v>0.13248688931824068</v>
      </c>
      <c r="O16" s="282">
        <f>O10*C16</f>
        <v>0.13248688931824068</v>
      </c>
      <c r="P16" s="284" t="s">
        <v>135</v>
      </c>
      <c r="V16" s="150"/>
      <c r="W16" s="150"/>
      <c r="X16" s="150"/>
      <c r="Y16" s="150"/>
    </row>
    <row r="17" spans="1:25" ht="16.5">
      <c r="A17" s="349" t="str">
        <f t="shared" si="0"/>
        <v>SELLO REOLITICO</v>
      </c>
      <c r="B17" s="282">
        <f t="shared" si="0"/>
        <v>1253.5502958579882</v>
      </c>
      <c r="C17" s="290">
        <f t="shared" si="0"/>
        <v>0.2</v>
      </c>
      <c r="D17" s="282">
        <f>D11*C11</f>
        <v>20</v>
      </c>
      <c r="E17" s="282">
        <f>E11*C11</f>
        <v>20</v>
      </c>
      <c r="F17" s="282">
        <f>F11*C11</f>
        <v>20</v>
      </c>
      <c r="G17" s="282">
        <f>G11*C11</f>
        <v>19.722091102194952</v>
      </c>
      <c r="H17" s="282">
        <f>H11*C11</f>
        <v>7.6876327590276166</v>
      </c>
      <c r="I17" s="282">
        <f>I11*C11</f>
        <v>2.2504130280859123</v>
      </c>
      <c r="J17" s="282">
        <f>J11*C11</f>
        <v>0.25371725277319118</v>
      </c>
      <c r="K17" s="282">
        <f>K11*C11</f>
        <v>0.18999291951852984</v>
      </c>
      <c r="L17" s="282">
        <f>L11*C11</f>
        <v>4.8383290063726929E-2</v>
      </c>
      <c r="M17" s="282">
        <f>M11*C11</f>
        <v>4.8383290063726929E-2</v>
      </c>
      <c r="N17" s="282">
        <f>N11*C11</f>
        <v>4.8383290063726929E-2</v>
      </c>
      <c r="O17" s="282">
        <f>O11*C11</f>
        <v>4.8383290063726929E-2</v>
      </c>
      <c r="P17" s="284" t="s">
        <v>136</v>
      </c>
      <c r="V17" s="150"/>
      <c r="W17" s="150"/>
      <c r="X17" s="150"/>
      <c r="Y17" s="150"/>
    </row>
    <row r="18" spans="1:25" ht="16.5">
      <c r="A18" s="349" t="str">
        <f t="shared" si="0"/>
        <v>POLVILLO 3/16"</v>
      </c>
      <c r="B18" s="282">
        <f t="shared" si="0"/>
        <v>1662.4999999999998</v>
      </c>
      <c r="C18" s="290">
        <f t="shared" si="0"/>
        <v>0.5</v>
      </c>
      <c r="D18" s="282">
        <f>D12*C12</f>
        <v>50</v>
      </c>
      <c r="E18" s="282">
        <f>E12*C12</f>
        <v>50</v>
      </c>
      <c r="F18" s="282">
        <f>F12*C12</f>
        <v>50</v>
      </c>
      <c r="G18" s="282">
        <f>G12*C12</f>
        <v>50</v>
      </c>
      <c r="H18" s="282">
        <f>H12*C12</f>
        <v>50</v>
      </c>
      <c r="I18" s="282">
        <f>I12*C12</f>
        <v>50</v>
      </c>
      <c r="J18" s="282">
        <f>J12*C12</f>
        <v>36.228983186549243</v>
      </c>
      <c r="K18" s="282">
        <f>K12*C12</f>
        <v>22.407926341072866</v>
      </c>
      <c r="L18" s="282">
        <f>L12*C12</f>
        <v>14.581665332265821</v>
      </c>
      <c r="M18" s="282">
        <f>M12*C12</f>
        <v>10.378302642113699</v>
      </c>
      <c r="N18" s="282">
        <f>N12*C12</f>
        <v>8.5268214571657399</v>
      </c>
      <c r="O18" s="282">
        <f>O12*C12</f>
        <v>6.0848678943154599</v>
      </c>
      <c r="P18" s="284" t="s">
        <v>137</v>
      </c>
      <c r="V18" s="150"/>
      <c r="W18" s="150"/>
      <c r="X18" s="150"/>
      <c r="Y18" s="150"/>
    </row>
    <row r="19" spans="1:25" s="347" customFormat="1">
      <c r="A19" s="344" t="str">
        <f t="shared" si="0"/>
        <v>EN BANCO</v>
      </c>
      <c r="B19" s="345">
        <f t="shared" si="0"/>
        <v>1662.4999999999998</v>
      </c>
      <c r="C19" s="344">
        <f t="shared" si="0"/>
        <v>0</v>
      </c>
      <c r="D19" s="345">
        <f>D13*C13</f>
        <v>0</v>
      </c>
      <c r="E19" s="345">
        <f>E13*C13</f>
        <v>0</v>
      </c>
      <c r="F19" s="345">
        <f>F13*C13</f>
        <v>0</v>
      </c>
      <c r="G19" s="345">
        <f>G13*C13</f>
        <v>0</v>
      </c>
      <c r="H19" s="345">
        <f>H13*C13</f>
        <v>0</v>
      </c>
      <c r="I19" s="345">
        <f>I13*C13</f>
        <v>0</v>
      </c>
      <c r="J19" s="345">
        <f>J13*C13</f>
        <v>0</v>
      </c>
      <c r="K19" s="345">
        <f>K13*C13</f>
        <v>0</v>
      </c>
      <c r="L19" s="345">
        <f>L13*C13</f>
        <v>0</v>
      </c>
      <c r="M19" s="345">
        <f>M13*C13</f>
        <v>0</v>
      </c>
      <c r="N19" s="345">
        <f>N13*C13</f>
        <v>0</v>
      </c>
      <c r="O19" s="345">
        <f>O13*C13</f>
        <v>0</v>
      </c>
      <c r="P19" s="346" t="s">
        <v>176</v>
      </c>
      <c r="U19" s="348"/>
      <c r="V19" s="150"/>
      <c r="W19" s="150"/>
      <c r="X19" s="150"/>
      <c r="Y19" s="150"/>
    </row>
    <row r="20" spans="1:25" ht="15" customHeight="1">
      <c r="A20" s="458" t="s">
        <v>140</v>
      </c>
      <c r="B20" s="458"/>
      <c r="C20" s="458"/>
      <c r="D20" s="284">
        <v>100</v>
      </c>
      <c r="E20" s="284">
        <v>100</v>
      </c>
      <c r="F20" s="284">
        <v>100</v>
      </c>
      <c r="G20" s="284">
        <v>100</v>
      </c>
      <c r="H20" s="284">
        <v>81</v>
      </c>
      <c r="I20" s="284">
        <v>69</v>
      </c>
      <c r="J20" s="284">
        <v>42</v>
      </c>
      <c r="K20" s="284">
        <v>27</v>
      </c>
      <c r="L20" s="284">
        <v>20</v>
      </c>
      <c r="M20" s="284">
        <v>15</v>
      </c>
      <c r="N20" s="284">
        <v>12</v>
      </c>
      <c r="O20" s="284">
        <v>7</v>
      </c>
      <c r="P20" s="284" t="s">
        <v>177</v>
      </c>
      <c r="V20" s="150"/>
      <c r="W20" s="150"/>
      <c r="X20" s="150"/>
      <c r="Y20" s="150"/>
    </row>
    <row r="21" spans="1:25" ht="17.25" customHeight="1">
      <c r="A21" s="480" t="s">
        <v>141</v>
      </c>
      <c r="B21" s="480"/>
      <c r="C21" s="480"/>
      <c r="D21" s="292">
        <f>SUM(D16:D19)</f>
        <v>100</v>
      </c>
      <c r="E21" s="292">
        <f t="shared" ref="E21:O21" si="1">SUM(E16:E19)</f>
        <v>100</v>
      </c>
      <c r="F21" s="292">
        <f t="shared" si="1"/>
        <v>100</v>
      </c>
      <c r="G21" s="292">
        <f t="shared" si="1"/>
        <v>99.646814460536859</v>
      </c>
      <c r="H21" s="292">
        <f t="shared" si="1"/>
        <v>80.227717570710553</v>
      </c>
      <c r="I21" s="292">
        <f t="shared" si="1"/>
        <v>68.200780629019334</v>
      </c>
      <c r="J21" s="292">
        <f t="shared" si="1"/>
        <v>37.359673314639217</v>
      </c>
      <c r="K21" s="292">
        <f t="shared" si="1"/>
        <v>23.214434955771178</v>
      </c>
      <c r="L21" s="292">
        <f t="shared" si="1"/>
        <v>14.762535511647789</v>
      </c>
      <c r="M21" s="292">
        <f t="shared" si="1"/>
        <v>10.559172821495666</v>
      </c>
      <c r="N21" s="292">
        <f t="shared" si="1"/>
        <v>8.7076916365477075</v>
      </c>
      <c r="O21" s="292">
        <f t="shared" si="1"/>
        <v>6.2657380736974275</v>
      </c>
      <c r="P21" s="292">
        <f>O21</f>
        <v>6.2657380736974275</v>
      </c>
      <c r="V21" s="150"/>
      <c r="W21" s="150"/>
      <c r="X21" s="150"/>
      <c r="Y21" s="150"/>
    </row>
    <row r="22" spans="1:25">
      <c r="A22" s="458" t="s">
        <v>140</v>
      </c>
      <c r="B22" s="458"/>
      <c r="C22" s="458"/>
      <c r="D22" s="284">
        <v>100</v>
      </c>
      <c r="E22" s="284">
        <v>100</v>
      </c>
      <c r="F22" s="284">
        <v>100</v>
      </c>
      <c r="G22" s="284">
        <v>90</v>
      </c>
      <c r="H22" s="284">
        <v>70</v>
      </c>
      <c r="I22" s="284">
        <v>56</v>
      </c>
      <c r="J22" s="284">
        <v>28</v>
      </c>
      <c r="K22" s="284">
        <v>18</v>
      </c>
      <c r="L22" s="284">
        <v>13</v>
      </c>
      <c r="M22" s="284">
        <v>10</v>
      </c>
      <c r="N22" s="284">
        <v>6</v>
      </c>
      <c r="O22" s="284">
        <v>2</v>
      </c>
      <c r="P22" s="284" t="s">
        <v>178</v>
      </c>
      <c r="Q22" s="131"/>
      <c r="R22" s="443"/>
      <c r="S22" s="443"/>
      <c r="V22" s="150"/>
      <c r="W22" s="150"/>
      <c r="X22" s="150"/>
      <c r="Y22" s="150"/>
    </row>
    <row r="23" spans="1:25">
      <c r="A23" s="458" t="s">
        <v>142</v>
      </c>
      <c r="B23" s="458"/>
      <c r="C23" s="458"/>
      <c r="D23" s="458"/>
      <c r="E23" s="458"/>
      <c r="F23" s="458"/>
      <c r="G23" s="458"/>
      <c r="H23" s="459" t="s">
        <v>143</v>
      </c>
      <c r="I23" s="459"/>
      <c r="J23" s="459"/>
      <c r="K23" s="459"/>
      <c r="L23" s="459"/>
      <c r="M23" s="459"/>
      <c r="N23" s="459"/>
      <c r="O23" s="459"/>
      <c r="P23" s="459"/>
      <c r="R23" s="443"/>
      <c r="S23" s="443"/>
    </row>
    <row r="24" spans="1:25" ht="45" customHeight="1">
      <c r="A24" s="469" t="str">
        <f>A14</f>
        <v>MATERIAL</v>
      </c>
      <c r="B24" s="459" t="s">
        <v>144</v>
      </c>
      <c r="C24" s="469" t="s">
        <v>145</v>
      </c>
      <c r="D24" s="459" t="s">
        <v>146</v>
      </c>
      <c r="E24" s="459"/>
      <c r="F24" s="459" t="s">
        <v>170</v>
      </c>
      <c r="G24" s="459"/>
      <c r="H24" s="285" t="s">
        <v>147</v>
      </c>
      <c r="I24" s="288" t="s">
        <v>181</v>
      </c>
      <c r="J24" s="459" t="s">
        <v>182</v>
      </c>
      <c r="K24" s="459"/>
      <c r="L24" s="285" t="s">
        <v>148</v>
      </c>
      <c r="M24" s="285" t="s">
        <v>149</v>
      </c>
      <c r="N24" s="142" t="s">
        <v>180</v>
      </c>
      <c r="O24" s="478">
        <v>7.4999999999999997E-3</v>
      </c>
      <c r="P24" s="478"/>
      <c r="R24" s="132"/>
    </row>
    <row r="25" spans="1:25" ht="15" customHeight="1">
      <c r="A25" s="469"/>
      <c r="B25" s="459"/>
      <c r="C25" s="469"/>
      <c r="D25" s="459"/>
      <c r="E25" s="459"/>
      <c r="F25" s="459"/>
      <c r="G25" s="459"/>
      <c r="H25" s="285">
        <v>37.5</v>
      </c>
      <c r="I25" s="127">
        <v>19</v>
      </c>
      <c r="J25" s="460">
        <v>0</v>
      </c>
      <c r="K25" s="459"/>
      <c r="L25" s="285">
        <v>0.27</v>
      </c>
      <c r="M25" s="287">
        <f>J25*L25</f>
        <v>0</v>
      </c>
      <c r="N25" s="479" t="s">
        <v>171</v>
      </c>
      <c r="O25" s="475">
        <f>M30*O24</f>
        <v>4.2345749999999995</v>
      </c>
      <c r="P25" s="475"/>
      <c r="Q25" s="351"/>
      <c r="R25" s="150"/>
      <c r="S25" s="150"/>
      <c r="T25" s="150"/>
      <c r="U25" s="150"/>
    </row>
    <row r="26" spans="1:25" ht="15" customHeight="1">
      <c r="A26" s="352" t="str">
        <f t="shared" ref="A26:C27" si="2">A16</f>
        <v>SELLO CALIZO</v>
      </c>
      <c r="B26" s="286">
        <f t="shared" si="2"/>
        <v>1473.853550295858</v>
      </c>
      <c r="C26" s="127">
        <f t="shared" si="2"/>
        <v>0.3</v>
      </c>
      <c r="D26" s="460">
        <f>B26*C26</f>
        <v>442.15606508875737</v>
      </c>
      <c r="E26" s="460"/>
      <c r="F26" s="461">
        <f>D26/25</f>
        <v>17.686242603550294</v>
      </c>
      <c r="G26" s="461"/>
      <c r="H26" s="127">
        <v>19</v>
      </c>
      <c r="I26" s="285">
        <v>4.75</v>
      </c>
      <c r="J26" s="460">
        <v>32</v>
      </c>
      <c r="K26" s="459"/>
      <c r="L26" s="285">
        <v>0.41</v>
      </c>
      <c r="M26" s="287">
        <f>J26*L26</f>
        <v>13.12</v>
      </c>
      <c r="N26" s="479"/>
      <c r="O26" s="475"/>
      <c r="P26" s="475"/>
      <c r="Q26" s="351"/>
      <c r="R26" s="150"/>
      <c r="S26" s="150"/>
      <c r="T26" s="150"/>
      <c r="U26" s="150"/>
    </row>
    <row r="27" spans="1:25" ht="15" customHeight="1">
      <c r="A27" s="352" t="str">
        <f t="shared" si="2"/>
        <v>SELLO REOLITICO</v>
      </c>
      <c r="B27" s="286">
        <f t="shared" si="2"/>
        <v>1253.5502958579882</v>
      </c>
      <c r="C27" s="127">
        <f t="shared" si="2"/>
        <v>0.2</v>
      </c>
      <c r="D27" s="460">
        <f t="shared" ref="D27:D28" si="3">B27*C27</f>
        <v>250.71005917159766</v>
      </c>
      <c r="E27" s="460"/>
      <c r="F27" s="461">
        <f t="shared" ref="F27:F28" si="4">D27/25</f>
        <v>10.028402366863906</v>
      </c>
      <c r="G27" s="461"/>
      <c r="H27" s="285">
        <v>4.75</v>
      </c>
      <c r="I27" s="285">
        <v>0.42499999999999999</v>
      </c>
      <c r="J27" s="460">
        <v>53</v>
      </c>
      <c r="K27" s="459"/>
      <c r="L27" s="285">
        <v>2.0499999999999998</v>
      </c>
      <c r="M27" s="287">
        <f>J27*L27</f>
        <v>108.64999999999999</v>
      </c>
      <c r="N27" s="479"/>
      <c r="O27" s="475"/>
      <c r="P27" s="475"/>
      <c r="Q27" s="351"/>
      <c r="R27" s="150"/>
      <c r="S27" s="150"/>
      <c r="T27" s="150"/>
      <c r="U27" s="150"/>
    </row>
    <row r="28" spans="1:25" ht="15" customHeight="1">
      <c r="A28" s="352" t="str">
        <f>A18</f>
        <v>POLVILLO 3/16"</v>
      </c>
      <c r="B28" s="286">
        <f>B19</f>
        <v>1662.4999999999998</v>
      </c>
      <c r="C28" s="127">
        <f>C18</f>
        <v>0.5</v>
      </c>
      <c r="D28" s="460">
        <f t="shared" si="3"/>
        <v>831.24999999999989</v>
      </c>
      <c r="E28" s="460"/>
      <c r="F28" s="461">
        <f t="shared" si="4"/>
        <v>33.249999999999993</v>
      </c>
      <c r="G28" s="461"/>
      <c r="H28" s="285">
        <v>0.42499999999999999</v>
      </c>
      <c r="I28" s="285">
        <v>7.4999999999999997E-2</v>
      </c>
      <c r="J28" s="460">
        <v>8</v>
      </c>
      <c r="K28" s="459"/>
      <c r="L28" s="285">
        <v>15.38</v>
      </c>
      <c r="M28" s="287">
        <f>J28*L28</f>
        <v>123.04</v>
      </c>
      <c r="N28" s="481" t="s">
        <v>172</v>
      </c>
      <c r="O28" s="475">
        <f>O25*1.25</f>
        <v>5.2932187499999994</v>
      </c>
      <c r="P28" s="475"/>
    </row>
    <row r="29" spans="1:25" ht="15" customHeight="1">
      <c r="A29" s="353" t="s">
        <v>150</v>
      </c>
      <c r="B29" s="282"/>
      <c r="C29" s="130">
        <f>(C26+C27+C28)*100</f>
        <v>100</v>
      </c>
      <c r="D29" s="482">
        <f>SUM(D26:E28)</f>
        <v>1524.1161242603548</v>
      </c>
      <c r="E29" s="458"/>
      <c r="F29" s="461">
        <f>F26+F27+F28</f>
        <v>60.964644970414192</v>
      </c>
      <c r="G29" s="461"/>
      <c r="H29" s="285">
        <v>7.4999999999999997E-2</v>
      </c>
      <c r="I29" s="285"/>
      <c r="J29" s="460">
        <v>6</v>
      </c>
      <c r="K29" s="459"/>
      <c r="L29" s="127">
        <v>53.3</v>
      </c>
      <c r="M29" s="287">
        <f>J29*L29</f>
        <v>319.79999999999995</v>
      </c>
      <c r="N29" s="481"/>
      <c r="O29" s="475"/>
      <c r="P29" s="475"/>
    </row>
    <row r="30" spans="1:25">
      <c r="A30" s="454" t="s">
        <v>173</v>
      </c>
      <c r="B30" s="454"/>
      <c r="C30" s="454"/>
      <c r="D30" s="454"/>
      <c r="E30" s="454"/>
      <c r="F30" s="454"/>
      <c r="G30" s="454"/>
      <c r="H30" s="454"/>
      <c r="I30" s="454"/>
      <c r="J30" s="454"/>
      <c r="K30" s="454"/>
      <c r="L30" s="454"/>
      <c r="M30" s="287">
        <f>M25+M26+M27+M28+M29</f>
        <v>564.6099999999999</v>
      </c>
      <c r="N30" s="481"/>
      <c r="O30" s="475"/>
      <c r="P30" s="475"/>
    </row>
    <row r="31" spans="1:25" ht="3.75" customHeight="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</row>
    <row r="32" spans="1:25" ht="13.5" customHeight="1">
      <c r="A32" s="458" t="s">
        <v>151</v>
      </c>
      <c r="B32" s="458"/>
      <c r="C32" s="458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</row>
    <row r="33" spans="1:16">
      <c r="A33" s="459" t="s">
        <v>152</v>
      </c>
      <c r="B33" s="459"/>
      <c r="C33" s="366">
        <v>1200</v>
      </c>
      <c r="D33" s="458" t="s">
        <v>153</v>
      </c>
      <c r="E33" s="458"/>
      <c r="F33" s="459">
        <v>6.35</v>
      </c>
      <c r="G33" s="459"/>
      <c r="H33" s="366">
        <v>18</v>
      </c>
      <c r="I33" s="458" t="s">
        <v>154</v>
      </c>
      <c r="J33" s="458"/>
      <c r="K33" s="458"/>
      <c r="L33" s="458"/>
      <c r="M33" s="458"/>
      <c r="N33" s="458"/>
      <c r="O33" s="458"/>
      <c r="P33" s="458"/>
    </row>
    <row r="34" spans="1:16" ht="12.75" customHeight="1">
      <c r="A34" s="459"/>
      <c r="B34" s="459"/>
      <c r="C34" s="458" t="s">
        <v>155</v>
      </c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8"/>
    </row>
    <row r="35" spans="1:16" ht="24">
      <c r="A35" s="458" t="s">
        <v>156</v>
      </c>
      <c r="B35" s="458"/>
      <c r="C35" s="284">
        <v>37.5</v>
      </c>
      <c r="D35" s="130">
        <v>25</v>
      </c>
      <c r="E35" s="130">
        <v>19</v>
      </c>
      <c r="F35" s="130">
        <v>12.5</v>
      </c>
      <c r="G35" s="290">
        <v>9.5</v>
      </c>
      <c r="H35" s="290">
        <v>6.3</v>
      </c>
      <c r="I35" s="290">
        <v>4.75</v>
      </c>
      <c r="J35" s="284">
        <v>10</v>
      </c>
      <c r="K35" s="284">
        <v>20</v>
      </c>
      <c r="L35" s="284">
        <v>40</v>
      </c>
      <c r="M35" s="284">
        <v>60</v>
      </c>
      <c r="N35" s="284">
        <v>100</v>
      </c>
      <c r="O35" s="333">
        <v>200</v>
      </c>
      <c r="P35" s="334" t="s">
        <v>157</v>
      </c>
    </row>
    <row r="36" spans="1:16">
      <c r="A36" s="458" t="s">
        <v>158</v>
      </c>
      <c r="B36" s="458"/>
      <c r="C36" s="130">
        <v>0</v>
      </c>
      <c r="D36" s="130">
        <v>0</v>
      </c>
      <c r="E36" s="130">
        <v>0</v>
      </c>
      <c r="F36" s="130">
        <f t="shared" ref="F36:O36" si="5">E21-F21</f>
        <v>0</v>
      </c>
      <c r="G36" s="130">
        <f t="shared" si="5"/>
        <v>0.35318553946314069</v>
      </c>
      <c r="H36" s="130">
        <f t="shared" si="5"/>
        <v>19.419096889826307</v>
      </c>
      <c r="I36" s="130">
        <f t="shared" si="5"/>
        <v>12.026936941691218</v>
      </c>
      <c r="J36" s="130">
        <f t="shared" si="5"/>
        <v>30.841107314380118</v>
      </c>
      <c r="K36" s="130">
        <f t="shared" si="5"/>
        <v>14.145238358868038</v>
      </c>
      <c r="L36" s="130">
        <f t="shared" si="5"/>
        <v>8.4518994441233897</v>
      </c>
      <c r="M36" s="130">
        <f t="shared" si="5"/>
        <v>4.2033626901521224</v>
      </c>
      <c r="N36" s="130">
        <f t="shared" si="5"/>
        <v>1.8514811849479589</v>
      </c>
      <c r="O36" s="130">
        <f t="shared" si="5"/>
        <v>2.44195356285028</v>
      </c>
      <c r="P36" s="130">
        <f>P21</f>
        <v>6.2657380736974275</v>
      </c>
    </row>
    <row r="37" spans="1:16">
      <c r="A37" s="458" t="s">
        <v>159</v>
      </c>
      <c r="B37" s="458"/>
      <c r="C37" s="130">
        <f>C33*C36</f>
        <v>0</v>
      </c>
      <c r="D37" s="130">
        <f>C33*D36</f>
        <v>0</v>
      </c>
      <c r="E37" s="130">
        <f>C33*E36</f>
        <v>0</v>
      </c>
      <c r="F37" s="130">
        <f>C33*F36</f>
        <v>0</v>
      </c>
      <c r="G37" s="130">
        <f>C33*G36/100</f>
        <v>4.2382264735576882</v>
      </c>
      <c r="H37" s="130">
        <f>C33*H36/100</f>
        <v>233.02916267791568</v>
      </c>
      <c r="I37" s="130">
        <f>C33*I36/100</f>
        <v>144.32324330029462</v>
      </c>
      <c r="J37" s="130">
        <f>C33*J36/100</f>
        <v>370.09328777256138</v>
      </c>
      <c r="K37" s="130">
        <f>C33*K36/100</f>
        <v>169.74286030641647</v>
      </c>
      <c r="L37" s="130">
        <f>C33*L36/100</f>
        <v>101.42279332948068</v>
      </c>
      <c r="M37" s="130">
        <f>C33*M36/100</f>
        <v>50.440352281825469</v>
      </c>
      <c r="N37" s="130">
        <f>C33*N36/100</f>
        <v>22.217774219375507</v>
      </c>
      <c r="O37" s="130">
        <f>C33*O36/100</f>
        <v>29.30344275420336</v>
      </c>
      <c r="P37" s="130">
        <f>C33*P36/100</f>
        <v>75.18885688436913</v>
      </c>
    </row>
    <row r="38" spans="1:16">
      <c r="A38" s="458" t="s">
        <v>457</v>
      </c>
      <c r="B38" s="458"/>
      <c r="C38" s="284">
        <f>C37*H33</f>
        <v>0</v>
      </c>
      <c r="D38" s="333">
        <f>D37*H33</f>
        <v>0</v>
      </c>
      <c r="E38" s="333">
        <f>E37*H33</f>
        <v>0</v>
      </c>
      <c r="F38" s="333">
        <f>F37*H33</f>
        <v>0</v>
      </c>
      <c r="G38" s="333">
        <f>G37*H33</f>
        <v>76.288076524038388</v>
      </c>
      <c r="H38" s="333">
        <f>H37*H33</f>
        <v>4194.5249282024824</v>
      </c>
      <c r="I38" s="333">
        <f>I37*H33</f>
        <v>2597.8183794053029</v>
      </c>
      <c r="J38" s="333">
        <f>J37*H33</f>
        <v>6661.6791799061048</v>
      </c>
      <c r="K38" s="333">
        <f>K37*H33</f>
        <v>3055.3714855154967</v>
      </c>
      <c r="L38" s="333">
        <f>L37*H33</f>
        <v>1825.6102799306523</v>
      </c>
      <c r="M38" s="333">
        <f>M37*H33</f>
        <v>907.92634107285846</v>
      </c>
      <c r="N38" s="333">
        <f>N37*H33</f>
        <v>399.91993594875913</v>
      </c>
      <c r="O38" s="333">
        <f>O37*H33</f>
        <v>527.46196957566053</v>
      </c>
      <c r="P38" s="333">
        <f>P37*H33</f>
        <v>1353.3994239186443</v>
      </c>
    </row>
    <row r="39" spans="1:16" ht="3.75" customHeight="1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</row>
    <row r="40" spans="1:16">
      <c r="A40" s="458" t="s">
        <v>160</v>
      </c>
      <c r="B40" s="458"/>
      <c r="C40" s="458"/>
      <c r="D40" s="458"/>
      <c r="E40" s="458"/>
      <c r="F40" s="458"/>
      <c r="G40" s="458"/>
      <c r="H40" s="451"/>
      <c r="I40" s="452"/>
      <c r="J40" s="452"/>
      <c r="K40" s="452"/>
      <c r="L40" s="452"/>
      <c r="M40" s="452"/>
      <c r="N40" s="452"/>
      <c r="O40" s="452"/>
      <c r="P40" s="453"/>
    </row>
    <row r="41" spans="1:16" ht="19.5" customHeight="1">
      <c r="A41" s="284" t="s">
        <v>161</v>
      </c>
      <c r="B41" s="284" t="s">
        <v>162</v>
      </c>
      <c r="C41" s="458" t="s">
        <v>163</v>
      </c>
      <c r="D41" s="458"/>
      <c r="E41" s="440" t="s">
        <v>164</v>
      </c>
      <c r="F41" s="441"/>
      <c r="G41" s="442"/>
      <c r="H41" s="448"/>
      <c r="I41" s="449"/>
      <c r="J41" s="449"/>
      <c r="K41" s="449"/>
      <c r="L41" s="449"/>
      <c r="M41" s="449"/>
      <c r="N41" s="449"/>
      <c r="O41" s="449"/>
      <c r="P41" s="450"/>
    </row>
    <row r="42" spans="1:16">
      <c r="A42" s="284">
        <f>C33</f>
        <v>1200</v>
      </c>
      <c r="B42" s="367">
        <v>2.9</v>
      </c>
      <c r="C42" s="440">
        <f>A42*B42/100</f>
        <v>34.799999999999997</v>
      </c>
      <c r="D42" s="442"/>
      <c r="E42" s="440">
        <f>A42+C42</f>
        <v>1234.8</v>
      </c>
      <c r="F42" s="441"/>
      <c r="G42" s="442"/>
      <c r="H42" s="448" t="s">
        <v>165</v>
      </c>
      <c r="I42" s="449"/>
      <c r="J42" s="449"/>
      <c r="K42" s="449" t="str">
        <f>'INFORME PETREO SELLO CALIZO'!B64</f>
        <v>C. JULIO CESAR GARCIA RODRIGUEZ</v>
      </c>
      <c r="L42" s="449"/>
      <c r="M42" s="449"/>
      <c r="N42" s="449"/>
      <c r="O42" s="449"/>
      <c r="P42" s="450"/>
    </row>
    <row r="43" spans="1:16">
      <c r="A43" s="284">
        <v>1200</v>
      </c>
      <c r="B43" s="367">
        <v>3.4</v>
      </c>
      <c r="C43" s="440">
        <f t="shared" ref="C43:C48" si="6">A43*B43/100</f>
        <v>40.799999999999997</v>
      </c>
      <c r="D43" s="442"/>
      <c r="E43" s="440">
        <f t="shared" ref="E43:E48" si="7">A43+C43</f>
        <v>1240.8</v>
      </c>
      <c r="F43" s="441"/>
      <c r="G43" s="442"/>
      <c r="H43" s="455"/>
      <c r="I43" s="456"/>
      <c r="J43" s="456"/>
      <c r="K43" s="456"/>
      <c r="L43" s="456"/>
      <c r="M43" s="456"/>
      <c r="N43" s="456"/>
      <c r="O43" s="456"/>
      <c r="P43" s="457"/>
    </row>
    <row r="44" spans="1:16">
      <c r="A44" s="284">
        <f>C33</f>
        <v>1200</v>
      </c>
      <c r="B44" s="367">
        <f>B46-1</f>
        <v>4.2932187499999994</v>
      </c>
      <c r="C44" s="440">
        <v>46.5</v>
      </c>
      <c r="D44" s="442"/>
      <c r="E44" s="440">
        <f t="shared" si="7"/>
        <v>1246.5</v>
      </c>
      <c r="F44" s="441"/>
      <c r="G44" s="442"/>
      <c r="H44" s="455"/>
      <c r="I44" s="456"/>
      <c r="J44" s="456"/>
      <c r="K44" s="456"/>
      <c r="L44" s="456"/>
      <c r="M44" s="456"/>
      <c r="N44" s="456"/>
      <c r="O44" s="456"/>
      <c r="P44" s="457"/>
    </row>
    <row r="45" spans="1:16">
      <c r="A45" s="284">
        <f>C33</f>
        <v>1200</v>
      </c>
      <c r="B45" s="367">
        <f>B46-0.5</f>
        <v>4.7932187499999994</v>
      </c>
      <c r="C45" s="440">
        <f t="shared" si="6"/>
        <v>57.518624999999993</v>
      </c>
      <c r="D45" s="442"/>
      <c r="E45" s="440">
        <f t="shared" si="7"/>
        <v>1257.5186249999999</v>
      </c>
      <c r="F45" s="441"/>
      <c r="G45" s="442"/>
      <c r="H45" s="448" t="s">
        <v>12</v>
      </c>
      <c r="I45" s="449"/>
      <c r="J45" s="449"/>
      <c r="K45" s="449" t="str">
        <f>'INFORME PETREO SELLO CALIZO'!G64</f>
        <v>ING. JOSE LUIS TAMAYO AMAYA</v>
      </c>
      <c r="L45" s="449"/>
      <c r="M45" s="449"/>
      <c r="N45" s="449"/>
      <c r="O45" s="449"/>
      <c r="P45" s="450"/>
    </row>
    <row r="46" spans="1:16">
      <c r="A46" s="284">
        <f>C33</f>
        <v>1200</v>
      </c>
      <c r="B46" s="367">
        <f>O28</f>
        <v>5.2932187499999994</v>
      </c>
      <c r="C46" s="440">
        <f t="shared" si="6"/>
        <v>63.518624999999993</v>
      </c>
      <c r="D46" s="442"/>
      <c r="E46" s="440">
        <f t="shared" si="7"/>
        <v>1263.5186249999999</v>
      </c>
      <c r="F46" s="441"/>
      <c r="G46" s="442"/>
      <c r="H46" s="448"/>
      <c r="I46" s="449"/>
      <c r="J46" s="449"/>
      <c r="K46" s="449"/>
      <c r="L46" s="449"/>
      <c r="M46" s="449"/>
      <c r="N46" s="449"/>
      <c r="O46" s="449"/>
      <c r="P46" s="450"/>
    </row>
    <row r="47" spans="1:16">
      <c r="A47" s="284">
        <f>C33</f>
        <v>1200</v>
      </c>
      <c r="B47" s="367">
        <f>B46+0.5</f>
        <v>5.7932187499999994</v>
      </c>
      <c r="C47" s="440">
        <f t="shared" si="6"/>
        <v>69.518624999999986</v>
      </c>
      <c r="D47" s="442"/>
      <c r="E47" s="440">
        <f t="shared" si="7"/>
        <v>1269.5186249999999</v>
      </c>
      <c r="F47" s="441"/>
      <c r="G47" s="442"/>
      <c r="H47" s="448"/>
      <c r="I47" s="449"/>
      <c r="J47" s="449"/>
      <c r="K47" s="449"/>
      <c r="L47" s="449"/>
      <c r="M47" s="449"/>
      <c r="N47" s="449"/>
      <c r="O47" s="449"/>
      <c r="P47" s="450"/>
    </row>
    <row r="48" spans="1:16" ht="15" customHeight="1">
      <c r="A48" s="284">
        <f>C33</f>
        <v>1200</v>
      </c>
      <c r="B48" s="367">
        <f>B47+0.5</f>
        <v>6.2932187499999994</v>
      </c>
      <c r="C48" s="440">
        <f t="shared" si="6"/>
        <v>75.518624999999986</v>
      </c>
      <c r="D48" s="442"/>
      <c r="E48" s="440">
        <f t="shared" si="7"/>
        <v>1275.5186249999999</v>
      </c>
      <c r="F48" s="441"/>
      <c r="G48" s="442"/>
      <c r="H48" s="444" t="s">
        <v>450</v>
      </c>
      <c r="I48" s="445"/>
      <c r="J48" s="445"/>
      <c r="K48" s="446" t="str">
        <f>'INFORME PETREO SELLO CALIZO'!S64</f>
        <v>ARQ. CARLOS G. TAMAYO AMAYA</v>
      </c>
      <c r="L48" s="446"/>
      <c r="M48" s="446"/>
      <c r="N48" s="446"/>
      <c r="O48" s="446"/>
      <c r="P48" s="447"/>
    </row>
    <row r="50" spans="1:1">
      <c r="A50" s="133"/>
    </row>
  </sheetData>
  <mergeCells count="88">
    <mergeCell ref="D27:E27"/>
    <mergeCell ref="F27:G27"/>
    <mergeCell ref="J27:K27"/>
    <mergeCell ref="A21:C21"/>
    <mergeCell ref="N28:N30"/>
    <mergeCell ref="D28:E28"/>
    <mergeCell ref="F28:G28"/>
    <mergeCell ref="D29:E29"/>
    <mergeCell ref="F29:G29"/>
    <mergeCell ref="O28:P30"/>
    <mergeCell ref="L14:M14"/>
    <mergeCell ref="N14:P14"/>
    <mergeCell ref="L15:M15"/>
    <mergeCell ref="N15:P15"/>
    <mergeCell ref="H23:P23"/>
    <mergeCell ref="O24:P24"/>
    <mergeCell ref="J25:K25"/>
    <mergeCell ref="N25:N27"/>
    <mergeCell ref="O25:P27"/>
    <mergeCell ref="J28:K28"/>
    <mergeCell ref="J29:K29"/>
    <mergeCell ref="A6:P7"/>
    <mergeCell ref="A8:A9"/>
    <mergeCell ref="B8:B9"/>
    <mergeCell ref="C8:C9"/>
    <mergeCell ref="D8:P8"/>
    <mergeCell ref="A1:P1"/>
    <mergeCell ref="A2:B4"/>
    <mergeCell ref="C2:J4"/>
    <mergeCell ref="M2:P2"/>
    <mergeCell ref="K3:M3"/>
    <mergeCell ref="N3:P3"/>
    <mergeCell ref="K4:M4"/>
    <mergeCell ref="N4:P4"/>
    <mergeCell ref="B14:B15"/>
    <mergeCell ref="D26:E26"/>
    <mergeCell ref="F26:G26"/>
    <mergeCell ref="J26:K26"/>
    <mergeCell ref="D24:E25"/>
    <mergeCell ref="F24:G25"/>
    <mergeCell ref="J24:K24"/>
    <mergeCell ref="C14:C15"/>
    <mergeCell ref="A20:C20"/>
    <mergeCell ref="A14:A15"/>
    <mergeCell ref="D14:K15"/>
    <mergeCell ref="A22:C22"/>
    <mergeCell ref="A23:G23"/>
    <mergeCell ref="A24:A25"/>
    <mergeCell ref="B24:B25"/>
    <mergeCell ref="C24:C25"/>
    <mergeCell ref="H43:P44"/>
    <mergeCell ref="C41:D41"/>
    <mergeCell ref="E41:G41"/>
    <mergeCell ref="A32:P32"/>
    <mergeCell ref="A33:B34"/>
    <mergeCell ref="D33:E33"/>
    <mergeCell ref="F33:G33"/>
    <mergeCell ref="I33:P33"/>
    <mergeCell ref="C34:P34"/>
    <mergeCell ref="A35:B35"/>
    <mergeCell ref="A36:B36"/>
    <mergeCell ref="A37:B37"/>
    <mergeCell ref="A38:B38"/>
    <mergeCell ref="A40:G40"/>
    <mergeCell ref="C42:D42"/>
    <mergeCell ref="C43:D43"/>
    <mergeCell ref="R22:S23"/>
    <mergeCell ref="H48:J48"/>
    <mergeCell ref="K48:P48"/>
    <mergeCell ref="H45:J45"/>
    <mergeCell ref="K45:P45"/>
    <mergeCell ref="H46:P47"/>
    <mergeCell ref="H42:J42"/>
    <mergeCell ref="K42:P42"/>
    <mergeCell ref="H40:P41"/>
    <mergeCell ref="A30:L30"/>
    <mergeCell ref="C45:D45"/>
    <mergeCell ref="E45:G45"/>
    <mergeCell ref="C46:D46"/>
    <mergeCell ref="E46:G46"/>
    <mergeCell ref="C47:D47"/>
    <mergeCell ref="E47:G47"/>
    <mergeCell ref="E42:G42"/>
    <mergeCell ref="E43:G43"/>
    <mergeCell ref="C48:D48"/>
    <mergeCell ref="E48:G48"/>
    <mergeCell ref="C44:D44"/>
    <mergeCell ref="E44:G44"/>
  </mergeCells>
  <printOptions horizontalCentered="1" verticalCentered="1"/>
  <pageMargins left="0.15748031496062992" right="0.11811023622047245" top="0.55118110236220474" bottom="0.51181102362204722" header="0.47244094488188981" footer="0.5511811023622047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" zoomScaleNormal="100" workbookViewId="0">
      <selection activeCell="G27" sqref="G27"/>
    </sheetView>
  </sheetViews>
  <sheetFormatPr baseColWidth="10" defaultRowHeight="12"/>
  <cols>
    <col min="1" max="16384" width="11.42578125" style="64"/>
  </cols>
  <sheetData>
    <row r="1" spans="1:8" ht="12" customHeight="1">
      <c r="A1" s="408" t="s">
        <v>56</v>
      </c>
      <c r="B1" s="409"/>
      <c r="C1" s="409"/>
      <c r="D1" s="409"/>
      <c r="E1" s="409"/>
      <c r="F1" s="410"/>
      <c r="G1" s="411"/>
      <c r="H1" s="412"/>
    </row>
    <row r="2" spans="1:8" ht="12" customHeight="1">
      <c r="A2" s="413" t="s">
        <v>14</v>
      </c>
      <c r="B2" s="439" t="str">
        <f>'CALCULO POLVILLO ARENAS'!B2:F3</f>
        <v>SAN LUIS DEL CORDERO - SAN PEDRO DEL GALLO</v>
      </c>
      <c r="C2" s="439"/>
      <c r="D2" s="439"/>
      <c r="E2" s="439"/>
      <c r="F2" s="439"/>
      <c r="G2" s="65" t="s">
        <v>34</v>
      </c>
      <c r="H2" s="355">
        <f>'CALCULO TEORICO MEZCLA'!M2+1</f>
        <v>636</v>
      </c>
    </row>
    <row r="3" spans="1:8">
      <c r="A3" s="413"/>
      <c r="B3" s="439"/>
      <c r="C3" s="439"/>
      <c r="D3" s="439"/>
      <c r="E3" s="439"/>
      <c r="F3" s="439"/>
      <c r="G3" s="67" t="s">
        <v>1</v>
      </c>
      <c r="H3" s="68">
        <f>'CALCULO TEORICO MEZCLA'!N3</f>
        <v>42341</v>
      </c>
    </row>
    <row r="4" spans="1:8">
      <c r="A4" s="65" t="s">
        <v>57</v>
      </c>
      <c r="B4" s="391" t="str">
        <f>'CALCULO POLVILLO ARENAS'!B4:F4</f>
        <v>EN BANCO</v>
      </c>
      <c r="C4" s="392"/>
      <c r="D4" s="392"/>
      <c r="E4" s="392"/>
      <c r="F4" s="393"/>
      <c r="G4" s="67" t="s">
        <v>58</v>
      </c>
      <c r="H4" s="69">
        <f>'CALCULO TEORICO MEZCLA'!N4</f>
        <v>42345</v>
      </c>
    </row>
    <row r="5" spans="1:8">
      <c r="A5" s="394" t="s">
        <v>5</v>
      </c>
      <c r="B5" s="395"/>
      <c r="C5" s="396" t="str">
        <f>'CALCULO POLVILLO ARENAS'!C5:F5</f>
        <v>MICROCARPETA T.M. 13 MM EN CALIENTE</v>
      </c>
      <c r="D5" s="397"/>
      <c r="E5" s="397"/>
      <c r="F5" s="398"/>
      <c r="G5" s="65"/>
      <c r="H5" s="65"/>
    </row>
    <row r="6" spans="1:8">
      <c r="A6" s="399" t="s">
        <v>59</v>
      </c>
      <c r="B6" s="399"/>
      <c r="C6" s="399"/>
      <c r="D6" s="399"/>
      <c r="E6" s="399"/>
      <c r="F6" s="399"/>
      <c r="G6" s="399"/>
      <c r="H6" s="399"/>
    </row>
    <row r="7" spans="1:8" ht="36">
      <c r="A7" s="70" t="s">
        <v>60</v>
      </c>
      <c r="B7" s="70" t="s">
        <v>61</v>
      </c>
      <c r="C7" s="71" t="s">
        <v>62</v>
      </c>
      <c r="D7" s="71" t="s">
        <v>63</v>
      </c>
      <c r="E7" s="71" t="s">
        <v>64</v>
      </c>
      <c r="F7" s="71" t="s">
        <v>65</v>
      </c>
      <c r="G7" s="415" t="s">
        <v>66</v>
      </c>
      <c r="H7" s="416"/>
    </row>
    <row r="8" spans="1:8">
      <c r="A8" s="124" t="s">
        <v>67</v>
      </c>
      <c r="B8" s="124" t="s">
        <v>68</v>
      </c>
      <c r="C8" s="124" t="s">
        <v>68</v>
      </c>
      <c r="D8" s="124" t="s">
        <v>69</v>
      </c>
      <c r="E8" s="124" t="s">
        <v>70</v>
      </c>
      <c r="F8" s="124" t="s">
        <v>70</v>
      </c>
      <c r="G8" s="73" t="s">
        <v>71</v>
      </c>
      <c r="H8" s="74">
        <v>2704</v>
      </c>
    </row>
    <row r="9" spans="1:8">
      <c r="A9" s="124" t="s">
        <v>72</v>
      </c>
      <c r="B9" s="124">
        <v>63.1</v>
      </c>
      <c r="C9" s="124"/>
      <c r="D9" s="75">
        <v>0</v>
      </c>
      <c r="E9" s="79">
        <f>D9/D25*100</f>
        <v>0</v>
      </c>
      <c r="F9" s="124">
        <f>100-E9</f>
        <v>100</v>
      </c>
      <c r="G9" s="73" t="s">
        <v>73</v>
      </c>
      <c r="H9" s="74">
        <v>1686</v>
      </c>
    </row>
    <row r="10" spans="1:8">
      <c r="A10" s="124" t="s">
        <v>74</v>
      </c>
      <c r="B10" s="124">
        <v>50</v>
      </c>
      <c r="C10" s="124"/>
      <c r="D10" s="75">
        <v>0</v>
      </c>
      <c r="E10" s="79">
        <f>D10/D25*100</f>
        <v>0</v>
      </c>
      <c r="F10" s="76">
        <f>F9-E10</f>
        <v>100</v>
      </c>
      <c r="G10" s="73" t="s">
        <v>75</v>
      </c>
      <c r="H10" s="74">
        <v>6139.2</v>
      </c>
    </row>
    <row r="11" spans="1:8">
      <c r="A11" s="77" t="s">
        <v>76</v>
      </c>
      <c r="B11" s="124">
        <v>36.1</v>
      </c>
      <c r="C11" s="124"/>
      <c r="D11" s="75">
        <v>0</v>
      </c>
      <c r="E11" s="79">
        <f>D11/D25*100</f>
        <v>0</v>
      </c>
      <c r="F11" s="76">
        <f>F10-E11</f>
        <v>100</v>
      </c>
      <c r="G11" s="111" t="s">
        <v>77</v>
      </c>
      <c r="H11" s="112">
        <f>H12/H8*1000</f>
        <v>1646.8934911242602</v>
      </c>
    </row>
    <row r="12" spans="1:8">
      <c r="A12" s="77" t="s">
        <v>78</v>
      </c>
      <c r="B12" s="124">
        <v>25.4</v>
      </c>
      <c r="C12" s="124">
        <v>0</v>
      </c>
      <c r="D12" s="75">
        <v>0</v>
      </c>
      <c r="E12" s="79">
        <f>D12/D25*100</f>
        <v>0</v>
      </c>
      <c r="F12" s="76">
        <f>'CALCULO TEORICO MEZCLA'!D21</f>
        <v>100</v>
      </c>
      <c r="G12" s="73" t="s">
        <v>472</v>
      </c>
      <c r="H12" s="365">
        <f>H10-H9</f>
        <v>4453.2</v>
      </c>
    </row>
    <row r="13" spans="1:8">
      <c r="A13" s="77" t="s">
        <v>79</v>
      </c>
      <c r="B13" s="70">
        <v>19.05</v>
      </c>
      <c r="C13" s="124">
        <v>0</v>
      </c>
      <c r="D13" s="75">
        <v>0</v>
      </c>
      <c r="E13" s="79">
        <f>D13/D25*100</f>
        <v>0</v>
      </c>
      <c r="F13" s="76">
        <f>'CALCULO TEORICO MEZCLA'!E21</f>
        <v>100</v>
      </c>
      <c r="G13" s="144"/>
      <c r="H13" s="148"/>
    </row>
    <row r="14" spans="1:8">
      <c r="A14" s="77" t="s">
        <v>80</v>
      </c>
      <c r="B14" s="71">
        <v>12.7</v>
      </c>
      <c r="C14" s="72">
        <v>0</v>
      </c>
      <c r="D14" s="75">
        <v>0</v>
      </c>
      <c r="E14" s="79">
        <f>D14/D25*100</f>
        <v>0</v>
      </c>
      <c r="F14" s="76">
        <f>'CALCULO TEORICO MEZCLA'!F21</f>
        <v>100</v>
      </c>
      <c r="G14" s="144"/>
      <c r="H14" s="148"/>
    </row>
    <row r="15" spans="1:8">
      <c r="A15" s="77" t="s">
        <v>81</v>
      </c>
      <c r="B15" s="71">
        <v>9.52</v>
      </c>
      <c r="C15" s="72">
        <v>0</v>
      </c>
      <c r="D15" s="75">
        <v>0</v>
      </c>
      <c r="E15" s="79">
        <f>D15/D25*100</f>
        <v>0</v>
      </c>
      <c r="F15" s="76">
        <f>'CALCULO TEORICO MEZCLA'!G21</f>
        <v>99.646814460536859</v>
      </c>
      <c r="G15" s="144"/>
      <c r="H15" s="149"/>
    </row>
    <row r="16" spans="1:8">
      <c r="A16" s="77" t="s">
        <v>82</v>
      </c>
      <c r="B16" s="71">
        <v>6.3</v>
      </c>
      <c r="C16" s="72">
        <v>0</v>
      </c>
      <c r="D16" s="75">
        <v>0</v>
      </c>
      <c r="E16" s="79">
        <f>D16/D25*100</f>
        <v>0</v>
      </c>
      <c r="F16" s="76">
        <f>'CALCULO TEORICO MEZCLA'!H21</f>
        <v>80.227717570710553</v>
      </c>
      <c r="G16" s="144"/>
      <c r="H16" s="145"/>
    </row>
    <row r="17" spans="1:11">
      <c r="A17" s="77" t="s">
        <v>25</v>
      </c>
      <c r="B17" s="80">
        <v>4.75</v>
      </c>
      <c r="C17" s="72">
        <v>0</v>
      </c>
      <c r="D17" s="75">
        <v>0</v>
      </c>
      <c r="E17" s="79">
        <f>D17/D25*100</f>
        <v>0</v>
      </c>
      <c r="F17" s="76">
        <f>'CALCULO TEORICO MEZCLA'!I21</f>
        <v>68.200780629019334</v>
      </c>
      <c r="G17" s="144"/>
      <c r="H17" s="145"/>
    </row>
    <row r="18" spans="1:11">
      <c r="A18" s="77" t="s">
        <v>83</v>
      </c>
      <c r="B18" s="81">
        <v>2.36</v>
      </c>
      <c r="C18" s="72">
        <v>0</v>
      </c>
      <c r="D18" s="75">
        <v>0</v>
      </c>
      <c r="E18" s="79">
        <f>D18/D25*100</f>
        <v>0</v>
      </c>
      <c r="F18" s="76">
        <f>'CALCULO TEORICO MEZCLA'!J21</f>
        <v>37.359673314639217</v>
      </c>
      <c r="G18" s="144"/>
      <c r="H18" s="145"/>
    </row>
    <row r="19" spans="1:11">
      <c r="A19" s="77" t="s">
        <v>84</v>
      </c>
      <c r="B19" s="81">
        <v>1.18</v>
      </c>
      <c r="C19" s="72">
        <v>0</v>
      </c>
      <c r="D19" s="75">
        <v>0</v>
      </c>
      <c r="E19" s="79">
        <f>D19/D25*100</f>
        <v>0</v>
      </c>
      <c r="F19" s="76">
        <f>'CALCULO TEORICO MEZCLA'!K21</f>
        <v>23.214434955771178</v>
      </c>
      <c r="G19" s="144"/>
      <c r="H19" s="145"/>
    </row>
    <row r="20" spans="1:11">
      <c r="A20" s="77" t="s">
        <v>28</v>
      </c>
      <c r="B20" s="81">
        <v>0.6</v>
      </c>
      <c r="C20" s="72">
        <v>0</v>
      </c>
      <c r="D20" s="75">
        <v>0</v>
      </c>
      <c r="E20" s="79">
        <f>D20/D25*100</f>
        <v>0</v>
      </c>
      <c r="F20" s="76">
        <f>'CALCULO TEORICO MEZCLA'!L21</f>
        <v>14.762535511647789</v>
      </c>
      <c r="G20" s="144"/>
      <c r="H20" s="145"/>
    </row>
    <row r="21" spans="1:11">
      <c r="A21" s="77" t="s">
        <v>29</v>
      </c>
      <c r="B21" s="82">
        <v>0.3</v>
      </c>
      <c r="C21" s="72">
        <v>0</v>
      </c>
      <c r="D21" s="75">
        <v>0</v>
      </c>
      <c r="E21" s="79">
        <f>D21/D25*100</f>
        <v>0</v>
      </c>
      <c r="F21" s="76">
        <f>'CALCULO TEORICO MEZCLA'!M21</f>
        <v>10.559172821495666</v>
      </c>
      <c r="G21" s="144"/>
      <c r="H21" s="145"/>
    </row>
    <row r="22" spans="1:11">
      <c r="A22" s="77" t="s">
        <v>30</v>
      </c>
      <c r="B22" s="83">
        <v>0.14899999999999999</v>
      </c>
      <c r="C22" s="72">
        <v>0</v>
      </c>
      <c r="D22" s="75">
        <v>0</v>
      </c>
      <c r="E22" s="79">
        <f>D22/D25*100</f>
        <v>0</v>
      </c>
      <c r="F22" s="76">
        <f>'CALCULO TEORICO MEZCLA'!N21</f>
        <v>8.7076916365477075</v>
      </c>
      <c r="G22" s="146"/>
      <c r="H22" s="147"/>
    </row>
    <row r="23" spans="1:11">
      <c r="A23" s="77" t="s">
        <v>31</v>
      </c>
      <c r="B23" s="83">
        <v>7.3999999999999996E-2</v>
      </c>
      <c r="C23" s="72">
        <v>0</v>
      </c>
      <c r="D23" s="75">
        <v>0</v>
      </c>
      <c r="E23" s="79">
        <f>D23/D25*100</f>
        <v>0</v>
      </c>
      <c r="F23" s="76">
        <f>'CALCULO TEORICO MEZCLA'!O21</f>
        <v>6.2657380736974275</v>
      </c>
      <c r="G23" s="400" t="s">
        <v>85</v>
      </c>
      <c r="H23" s="400"/>
    </row>
    <row r="24" spans="1:11">
      <c r="A24" s="77" t="s">
        <v>86</v>
      </c>
      <c r="B24" s="80" t="s">
        <v>87</v>
      </c>
      <c r="C24" s="72"/>
      <c r="D24" s="84">
        <f>(D25-(SUM(D11:D23)))</f>
        <v>6139.2</v>
      </c>
      <c r="E24" s="79">
        <f>D24/D25*100</f>
        <v>100</v>
      </c>
      <c r="F24" s="76">
        <f>F23-E24</f>
        <v>-93.734261926302565</v>
      </c>
      <c r="G24" s="400"/>
      <c r="H24" s="400"/>
    </row>
    <row r="25" spans="1:11">
      <c r="A25" s="77" t="s">
        <v>88</v>
      </c>
      <c r="B25" s="85" t="s">
        <v>87</v>
      </c>
      <c r="C25" s="72">
        <v>1217.0999999999999</v>
      </c>
      <c r="D25" s="86">
        <f>H10</f>
        <v>6139.2</v>
      </c>
      <c r="E25" s="124"/>
      <c r="F25" s="124"/>
      <c r="G25" s="400"/>
      <c r="H25" s="400"/>
    </row>
    <row r="26" spans="1:11">
      <c r="A26" s="401" t="s">
        <v>89</v>
      </c>
      <c r="B26" s="402"/>
      <c r="C26" s="402"/>
      <c r="D26" s="402"/>
      <c r="E26" s="402"/>
      <c r="F26" s="402"/>
      <c r="G26" s="87" t="s">
        <v>90</v>
      </c>
      <c r="H26" s="403">
        <v>0</v>
      </c>
    </row>
    <row r="27" spans="1:11" ht="12.75" customHeight="1">
      <c r="A27" s="406" t="s">
        <v>91</v>
      </c>
      <c r="B27" s="407"/>
      <c r="C27" s="407"/>
      <c r="D27" s="407"/>
      <c r="E27" s="407"/>
      <c r="F27" s="88" t="s">
        <v>92</v>
      </c>
      <c r="G27" s="75">
        <v>732.3</v>
      </c>
      <c r="H27" s="404"/>
    </row>
    <row r="28" spans="1:11" ht="12" customHeight="1">
      <c r="A28" s="406" t="s">
        <v>93</v>
      </c>
      <c r="B28" s="407"/>
      <c r="C28" s="407"/>
      <c r="D28" s="407"/>
      <c r="E28" s="407"/>
      <c r="F28" s="88" t="s">
        <v>94</v>
      </c>
      <c r="G28" s="75">
        <v>746.9</v>
      </c>
      <c r="H28" s="404"/>
    </row>
    <row r="29" spans="1:11" ht="12.75" customHeight="1">
      <c r="A29" s="406" t="s">
        <v>95</v>
      </c>
      <c r="B29" s="407"/>
      <c r="C29" s="407"/>
      <c r="D29" s="407"/>
      <c r="E29" s="407"/>
      <c r="F29" s="88" t="s">
        <v>96</v>
      </c>
      <c r="G29" s="75">
        <v>454.6</v>
      </c>
      <c r="H29" s="404"/>
      <c r="K29" s="75">
        <v>882</v>
      </c>
    </row>
    <row r="30" spans="1:11" ht="12" customHeight="1">
      <c r="A30" s="406" t="s">
        <v>97</v>
      </c>
      <c r="B30" s="407"/>
      <c r="C30" s="407"/>
      <c r="D30" s="407"/>
      <c r="E30" s="407"/>
      <c r="F30" s="89"/>
      <c r="G30" s="90">
        <f>G27/(G28-G29)</f>
        <v>2.5053027711255562</v>
      </c>
      <c r="H30" s="404"/>
      <c r="K30" s="75">
        <v>372</v>
      </c>
    </row>
    <row r="31" spans="1:11" ht="12" customHeight="1">
      <c r="A31" s="406" t="s">
        <v>98</v>
      </c>
      <c r="B31" s="407"/>
      <c r="C31" s="407"/>
      <c r="D31" s="407"/>
      <c r="E31" s="407"/>
      <c r="F31" s="89"/>
      <c r="G31" s="90">
        <f>G28/(G28-G29)</f>
        <v>2.5552514539856315</v>
      </c>
      <c r="H31" s="404"/>
      <c r="K31" s="75">
        <v>1020</v>
      </c>
    </row>
    <row r="32" spans="1:11" ht="12" customHeight="1">
      <c r="A32" s="406" t="s">
        <v>99</v>
      </c>
      <c r="B32" s="407"/>
      <c r="C32" s="407"/>
      <c r="D32" s="407"/>
      <c r="E32" s="407"/>
      <c r="F32" s="89"/>
      <c r="G32" s="90">
        <f>G27/(G27-G29)</f>
        <v>2.6370183651422403</v>
      </c>
      <c r="H32" s="404"/>
      <c r="K32" s="75">
        <v>466</v>
      </c>
    </row>
    <row r="33" spans="1:11">
      <c r="A33" s="406" t="s">
        <v>100</v>
      </c>
      <c r="B33" s="407"/>
      <c r="C33" s="407"/>
      <c r="D33" s="407"/>
      <c r="E33" s="407"/>
      <c r="F33" s="89"/>
      <c r="G33" s="90">
        <f>((G28-G27)/G27)*100</f>
        <v>1.9937184214119927</v>
      </c>
      <c r="H33" s="404"/>
      <c r="K33" s="75">
        <v>1074</v>
      </c>
    </row>
    <row r="34" spans="1:11">
      <c r="A34" s="417" t="s">
        <v>101</v>
      </c>
      <c r="B34" s="418"/>
      <c r="C34" s="418"/>
      <c r="D34" s="418"/>
      <c r="E34" s="418"/>
      <c r="F34" s="418"/>
      <c r="G34" s="91" t="s">
        <v>90</v>
      </c>
      <c r="H34" s="404"/>
      <c r="K34" s="75">
        <v>341.8</v>
      </c>
    </row>
    <row r="35" spans="1:11" ht="12.75" customHeight="1">
      <c r="A35" s="406" t="s">
        <v>91</v>
      </c>
      <c r="B35" s="407"/>
      <c r="C35" s="407"/>
      <c r="D35" s="407"/>
      <c r="E35" s="407"/>
      <c r="F35" s="88" t="s">
        <v>92</v>
      </c>
      <c r="G35" s="368">
        <v>729.3</v>
      </c>
      <c r="H35" s="404"/>
      <c r="K35" s="75">
        <v>252.5</v>
      </c>
    </row>
    <row r="36" spans="1:11" ht="12" customHeight="1">
      <c r="A36" s="406" t="s">
        <v>102</v>
      </c>
      <c r="B36" s="407"/>
      <c r="C36" s="407"/>
      <c r="D36" s="407"/>
      <c r="E36" s="407"/>
      <c r="F36" s="88" t="s">
        <v>94</v>
      </c>
      <c r="G36" s="368">
        <v>1667.6</v>
      </c>
      <c r="H36" s="404"/>
      <c r="K36" s="75">
        <v>118.8</v>
      </c>
    </row>
    <row r="37" spans="1:11" ht="12" customHeight="1">
      <c r="A37" s="406" t="s">
        <v>103</v>
      </c>
      <c r="B37" s="407"/>
      <c r="C37" s="407"/>
      <c r="D37" s="407"/>
      <c r="E37" s="407"/>
      <c r="F37" s="88" t="s">
        <v>96</v>
      </c>
      <c r="G37" s="368">
        <v>1979.2</v>
      </c>
      <c r="H37" s="404"/>
      <c r="K37" s="75">
        <v>59.9</v>
      </c>
    </row>
    <row r="38" spans="1:11" ht="12.75" customHeight="1">
      <c r="A38" s="406" t="s">
        <v>104</v>
      </c>
      <c r="B38" s="407"/>
      <c r="C38" s="407"/>
      <c r="D38" s="407"/>
      <c r="E38" s="407"/>
      <c r="F38" s="88" t="s">
        <v>105</v>
      </c>
      <c r="G38" s="368">
        <v>500</v>
      </c>
      <c r="H38" s="404"/>
      <c r="K38" s="75">
        <v>95.3</v>
      </c>
    </row>
    <row r="39" spans="1:11" ht="12" customHeight="1">
      <c r="A39" s="406" t="s">
        <v>97</v>
      </c>
      <c r="B39" s="407"/>
      <c r="C39" s="407"/>
      <c r="D39" s="407"/>
      <c r="E39" s="407"/>
      <c r="F39" s="89"/>
      <c r="G39" s="90">
        <f>G35/(G36+G38-G37)</f>
        <v>3.8710191082802572</v>
      </c>
      <c r="H39" s="404"/>
    </row>
    <row r="40" spans="1:11" ht="12" customHeight="1">
      <c r="A40" s="406" t="s">
        <v>98</v>
      </c>
      <c r="B40" s="407"/>
      <c r="C40" s="407"/>
      <c r="D40" s="407"/>
      <c r="E40" s="407"/>
      <c r="F40" s="89"/>
      <c r="G40" s="90">
        <f>G38/(G36+G38-G37)</f>
        <v>2.653927813163484</v>
      </c>
      <c r="H40" s="404"/>
      <c r="K40" s="86">
        <v>4778</v>
      </c>
    </row>
    <row r="41" spans="1:11" ht="12" customHeight="1">
      <c r="A41" s="406" t="s">
        <v>99</v>
      </c>
      <c r="B41" s="407"/>
      <c r="C41" s="407"/>
      <c r="D41" s="407"/>
      <c r="E41" s="407"/>
      <c r="F41" s="89"/>
      <c r="G41" s="90">
        <f>G35/((G36+G35)-G37)</f>
        <v>1.745989944936559</v>
      </c>
      <c r="H41" s="404"/>
    </row>
    <row r="42" spans="1:11" ht="12" customHeight="1">
      <c r="A42" s="406" t="s">
        <v>100</v>
      </c>
      <c r="B42" s="407"/>
      <c r="C42" s="407"/>
      <c r="D42" s="407"/>
      <c r="E42" s="407"/>
      <c r="F42" s="89"/>
      <c r="G42" s="90">
        <f>100*((G38-G35)/G35)</f>
        <v>-31.441107911696143</v>
      </c>
      <c r="H42" s="405"/>
    </row>
    <row r="43" spans="1:11" ht="12" customHeight="1">
      <c r="A43" s="419" t="s">
        <v>106</v>
      </c>
      <c r="B43" s="419"/>
      <c r="C43" s="419"/>
      <c r="D43" s="419"/>
      <c r="E43" s="419"/>
      <c r="F43" s="419" t="s">
        <v>107</v>
      </c>
      <c r="G43" s="419"/>
      <c r="H43" s="419"/>
    </row>
    <row r="44" spans="1:11" ht="22.5">
      <c r="A44" s="420" t="s">
        <v>108</v>
      </c>
      <c r="B44" s="420" t="s">
        <v>109</v>
      </c>
      <c r="C44" s="422" t="s">
        <v>110</v>
      </c>
      <c r="D44" s="422"/>
      <c r="E44" s="123" t="s">
        <v>111</v>
      </c>
      <c r="F44" s="93" t="s">
        <v>112</v>
      </c>
      <c r="G44" s="421" t="s">
        <v>113</v>
      </c>
      <c r="H44" s="421"/>
    </row>
    <row r="45" spans="1:11" ht="24">
      <c r="A45" s="421"/>
      <c r="B45" s="421"/>
      <c r="C45" s="122" t="s">
        <v>114</v>
      </c>
      <c r="D45" s="122" t="s">
        <v>115</v>
      </c>
      <c r="E45" s="122" t="s">
        <v>114</v>
      </c>
      <c r="F45" s="95">
        <v>50</v>
      </c>
      <c r="G45" s="388"/>
      <c r="H45" s="390"/>
    </row>
    <row r="46" spans="1:11" ht="12" customHeight="1">
      <c r="A46" s="96" t="s">
        <v>168</v>
      </c>
      <c r="B46" s="113">
        <v>0</v>
      </c>
      <c r="C46" s="121">
        <v>0</v>
      </c>
      <c r="D46" s="97">
        <f>B46-C46</f>
        <v>0</v>
      </c>
      <c r="E46" s="99" t="e">
        <f>C46/B46*100</f>
        <v>#DIV/0!</v>
      </c>
      <c r="F46" s="423" t="s">
        <v>116</v>
      </c>
      <c r="G46" s="423" t="s">
        <v>117</v>
      </c>
      <c r="H46" s="423" t="s">
        <v>118</v>
      </c>
    </row>
    <row r="47" spans="1:11" ht="12" customHeight="1">
      <c r="A47" s="96" t="s">
        <v>166</v>
      </c>
      <c r="B47" s="115">
        <v>0</v>
      </c>
      <c r="C47" s="115">
        <v>0</v>
      </c>
      <c r="D47" s="97">
        <f>B47-C47</f>
        <v>0</v>
      </c>
      <c r="E47" s="99" t="e">
        <f>C47/B47*100</f>
        <v>#DIV/0!</v>
      </c>
      <c r="F47" s="420"/>
      <c r="G47" s="420"/>
      <c r="H47" s="420"/>
    </row>
    <row r="48" spans="1:11" ht="12" customHeight="1">
      <c r="A48" s="100" t="s">
        <v>167</v>
      </c>
      <c r="B48" s="116">
        <v>0</v>
      </c>
      <c r="C48" s="116">
        <v>0</v>
      </c>
      <c r="D48" s="97">
        <f>B48-C48</f>
        <v>0</v>
      </c>
      <c r="E48" s="99" t="e">
        <f>C48/B48*100</f>
        <v>#DIV/0!</v>
      </c>
      <c r="F48" s="424">
        <v>5000</v>
      </c>
      <c r="G48" s="424">
        <v>3980</v>
      </c>
      <c r="H48" s="426">
        <f>G50/F48*100</f>
        <v>20.399999999999999</v>
      </c>
    </row>
    <row r="49" spans="1:8" ht="12" customHeight="1">
      <c r="A49" s="101" t="s">
        <v>169</v>
      </c>
      <c r="B49" s="116">
        <v>0</v>
      </c>
      <c r="C49" s="116">
        <v>0</v>
      </c>
      <c r="D49" s="97">
        <f>B49-C49</f>
        <v>0</v>
      </c>
      <c r="E49" s="99" t="e">
        <f>C49/B49*100</f>
        <v>#DIV/0!</v>
      </c>
      <c r="F49" s="425"/>
      <c r="G49" s="425"/>
      <c r="H49" s="427"/>
    </row>
    <row r="50" spans="1:8">
      <c r="A50" s="117" t="s">
        <v>85</v>
      </c>
      <c r="B50" s="118">
        <f>SUM(B46:B49)</f>
        <v>0</v>
      </c>
      <c r="C50" s="118">
        <f>SUM(C46:C49)</f>
        <v>0</v>
      </c>
      <c r="D50" s="102" t="s">
        <v>119</v>
      </c>
      <c r="E50" s="119">
        <v>23.1</v>
      </c>
      <c r="F50" s="103" t="s">
        <v>85</v>
      </c>
      <c r="G50" s="354">
        <f>F48-G48</f>
        <v>1020</v>
      </c>
      <c r="H50" s="354"/>
    </row>
    <row r="51" spans="1:8">
      <c r="A51" s="431" t="s">
        <v>46</v>
      </c>
      <c r="B51" s="432"/>
      <c r="C51" s="432"/>
      <c r="D51" s="432"/>
      <c r="E51" s="432"/>
      <c r="F51" s="432"/>
      <c r="G51" s="432"/>
      <c r="H51" s="433"/>
    </row>
    <row r="52" spans="1:8" ht="14.25" customHeight="1">
      <c r="A52" s="421" t="s">
        <v>120</v>
      </c>
      <c r="B52" s="421" t="s">
        <v>121</v>
      </c>
      <c r="C52" s="421"/>
      <c r="D52" s="434" t="s">
        <v>122</v>
      </c>
      <c r="E52" s="434"/>
      <c r="F52" s="105" t="s">
        <v>123</v>
      </c>
      <c r="G52" s="105"/>
      <c r="H52" s="421" t="s">
        <v>124</v>
      </c>
    </row>
    <row r="53" spans="1:8">
      <c r="A53" s="421"/>
      <c r="B53" s="124" t="s">
        <v>125</v>
      </c>
      <c r="C53" s="124" t="s">
        <v>126</v>
      </c>
      <c r="D53" s="124" t="s">
        <v>125</v>
      </c>
      <c r="E53" s="124" t="s">
        <v>126</v>
      </c>
      <c r="F53" s="122" t="s">
        <v>127</v>
      </c>
      <c r="G53" s="122" t="s">
        <v>128</v>
      </c>
      <c r="H53" s="421"/>
    </row>
    <row r="54" spans="1:8">
      <c r="A54" s="124">
        <v>1</v>
      </c>
      <c r="B54" s="134">
        <v>0.43194444444444446</v>
      </c>
      <c r="C54" s="134">
        <v>0.43888888888888888</v>
      </c>
      <c r="D54" s="134">
        <v>0.44236111111111115</v>
      </c>
      <c r="E54" s="134">
        <v>0.45624999999999999</v>
      </c>
      <c r="F54" s="116">
        <v>3.2</v>
      </c>
      <c r="G54" s="114">
        <v>5</v>
      </c>
      <c r="H54" s="97">
        <f>F54/G54*100</f>
        <v>64</v>
      </c>
    </row>
    <row r="55" spans="1:8">
      <c r="A55" s="124">
        <v>2</v>
      </c>
      <c r="B55" s="134">
        <v>0.43194444444444446</v>
      </c>
      <c r="C55" s="134">
        <v>0.43888888888888888</v>
      </c>
      <c r="D55" s="134">
        <v>0.44236111111111115</v>
      </c>
      <c r="E55" s="134">
        <v>0.45624999999999999</v>
      </c>
      <c r="F55" s="116">
        <v>3.2</v>
      </c>
      <c r="G55" s="114">
        <v>5</v>
      </c>
      <c r="H55" s="97">
        <f>F55/G55*100</f>
        <v>64</v>
      </c>
    </row>
    <row r="56" spans="1:8">
      <c r="A56" s="124">
        <v>3</v>
      </c>
      <c r="B56" s="134">
        <v>0.43194444444444446</v>
      </c>
      <c r="C56" s="134">
        <v>0.43888888888888888</v>
      </c>
      <c r="D56" s="134">
        <v>0.44236111111111115</v>
      </c>
      <c r="E56" s="134">
        <v>0.45624999999999999</v>
      </c>
      <c r="F56" s="116">
        <v>3.2</v>
      </c>
      <c r="G56" s="114">
        <v>5</v>
      </c>
      <c r="H56" s="97">
        <f>F56/G56*100</f>
        <v>64</v>
      </c>
    </row>
    <row r="57" spans="1:8">
      <c r="A57" s="428" t="s">
        <v>85</v>
      </c>
      <c r="B57" s="429"/>
      <c r="C57" s="429"/>
      <c r="D57" s="429"/>
      <c r="E57" s="429"/>
      <c r="F57" s="430"/>
      <c r="G57" s="107" t="s">
        <v>129</v>
      </c>
      <c r="H57" s="79">
        <f>AVERAGE(H54:H56)</f>
        <v>64</v>
      </c>
    </row>
  </sheetData>
  <mergeCells count="47">
    <mergeCell ref="A5:B5"/>
    <mergeCell ref="C5:F5"/>
    <mergeCell ref="A1:F1"/>
    <mergeCell ref="G1:H1"/>
    <mergeCell ref="A2:A3"/>
    <mergeCell ref="B2:F3"/>
    <mergeCell ref="B4:F4"/>
    <mergeCell ref="A6:H6"/>
    <mergeCell ref="G7:H7"/>
    <mergeCell ref="G23:H25"/>
    <mergeCell ref="A26:F26"/>
    <mergeCell ref="H26:H42"/>
    <mergeCell ref="A27:E27"/>
    <mergeCell ref="A28:E28"/>
    <mergeCell ref="A29:E29"/>
    <mergeCell ref="A30:E30"/>
    <mergeCell ref="A42:E42"/>
    <mergeCell ref="A31:E31"/>
    <mergeCell ref="A32:E32"/>
    <mergeCell ref="A33:E33"/>
    <mergeCell ref="A34:F34"/>
    <mergeCell ref="A35:E35"/>
    <mergeCell ref="A36:E36"/>
    <mergeCell ref="A37:E37"/>
    <mergeCell ref="A38:E38"/>
    <mergeCell ref="A39:E39"/>
    <mergeCell ref="A40:E40"/>
    <mergeCell ref="A41:E41"/>
    <mergeCell ref="A43:E43"/>
    <mergeCell ref="F43:H43"/>
    <mergeCell ref="A44:A45"/>
    <mergeCell ref="B44:B45"/>
    <mergeCell ref="C44:D44"/>
    <mergeCell ref="G44:H44"/>
    <mergeCell ref="G45:H45"/>
    <mergeCell ref="A57:F57"/>
    <mergeCell ref="F46:F47"/>
    <mergeCell ref="G46:G47"/>
    <mergeCell ref="H46:H47"/>
    <mergeCell ref="F48:F49"/>
    <mergeCell ref="G48:G49"/>
    <mergeCell ref="H48:H49"/>
    <mergeCell ref="A51:H51"/>
    <mergeCell ref="A52:A53"/>
    <mergeCell ref="B52:C52"/>
    <mergeCell ref="D52:E52"/>
    <mergeCell ref="H52:H53"/>
  </mergeCells>
  <pageMargins left="0.7" right="0.7" top="0.75" bottom="0.75" header="0.3" footer="0.3"/>
  <pageSetup scale="98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view="pageBreakPreview" topLeftCell="A13" zoomScale="55" zoomScaleSheetLayoutView="55" workbookViewId="0">
      <selection activeCell="F31" sqref="F31"/>
    </sheetView>
  </sheetViews>
  <sheetFormatPr baseColWidth="10" defaultRowHeight="12.75"/>
  <cols>
    <col min="1" max="1" width="0.85546875" customWidth="1"/>
    <col min="2" max="2" width="10" customWidth="1"/>
    <col min="3" max="3" width="4.28515625" customWidth="1"/>
    <col min="4" max="4" width="7.42578125" customWidth="1"/>
    <col min="5" max="5" width="18.5703125" customWidth="1"/>
    <col min="6" max="6" width="16.42578125" customWidth="1"/>
    <col min="7" max="7" width="4.28515625" customWidth="1"/>
    <col min="8" max="8" width="4.7109375" customWidth="1"/>
    <col min="9" max="9" width="5.5703125" customWidth="1"/>
    <col min="10" max="10" width="2.28515625" customWidth="1"/>
    <col min="11" max="11" width="5.140625" customWidth="1"/>
    <col min="12" max="12" width="1.28515625" customWidth="1"/>
    <col min="13" max="13" width="4.28515625" customWidth="1"/>
    <col min="14" max="14" width="2.7109375" customWidth="1"/>
    <col min="15" max="15" width="6.5703125" customWidth="1"/>
    <col min="16" max="16" width="9.42578125" customWidth="1"/>
    <col min="17" max="17" width="10.5703125" customWidth="1"/>
    <col min="18" max="18" width="3.140625" customWidth="1"/>
    <col min="19" max="19" width="8" customWidth="1"/>
    <col min="20" max="20" width="10.42578125" customWidth="1"/>
    <col min="21" max="21" width="3" customWidth="1"/>
    <col min="22" max="22" width="6" customWidth="1"/>
    <col min="23" max="23" width="0.140625" customWidth="1"/>
    <col min="24" max="24" width="5" customWidth="1"/>
    <col min="25" max="25" width="4.5703125" customWidth="1"/>
    <col min="26" max="26" width="3.7109375" customWidth="1"/>
    <col min="27" max="27" width="9.42578125" customWidth="1"/>
    <col min="28" max="28" width="5" customWidth="1"/>
    <col min="29" max="29" width="5.140625" customWidth="1"/>
    <col min="30" max="30" width="8.140625" customWidth="1"/>
    <col min="31" max="31" width="3.5703125" customWidth="1"/>
    <col min="32" max="32" width="1" customWidth="1"/>
  </cols>
  <sheetData>
    <row r="1" spans="1:37" ht="22.15" customHeight="1"/>
    <row r="2" spans="1:37" ht="23.25" customHeight="1"/>
    <row r="3" spans="1:37" ht="22.15" customHeight="1"/>
    <row r="4" spans="1:37" ht="16.5" customHeight="1">
      <c r="AA4" s="547"/>
      <c r="AB4" s="548"/>
      <c r="AC4" s="548"/>
      <c r="AD4" s="548"/>
    </row>
    <row r="5" spans="1:37" ht="20.25" customHeight="1">
      <c r="Z5" s="59"/>
      <c r="AA5" s="548"/>
      <c r="AB5" s="548"/>
      <c r="AC5" s="548"/>
      <c r="AD5" s="548"/>
      <c r="AE5" s="59"/>
    </row>
    <row r="6" spans="1:37" ht="22.15" customHeight="1">
      <c r="B6" s="549" t="s">
        <v>15</v>
      </c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</row>
    <row r="7" spans="1:37" ht="21.75" customHeight="1">
      <c r="B7" s="483" t="s">
        <v>44</v>
      </c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</row>
    <row r="8" spans="1:37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7" ht="20.100000000000001" customHeight="1">
      <c r="A9" s="1"/>
      <c r="B9" s="492" t="s">
        <v>14</v>
      </c>
      <c r="C9" s="492"/>
      <c r="D9" s="492"/>
      <c r="E9" s="493" t="str">
        <f>'CALCULO SELLO CALIZO'!B2</f>
        <v>SAN LUIS DEL CORDERO - SAN PEDRO DEL GALLO</v>
      </c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40"/>
      <c r="AF9" s="1"/>
    </row>
    <row r="10" spans="1:37" ht="20.100000000000001" customHeight="1">
      <c r="A10" s="1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5" t="s">
        <v>0</v>
      </c>
      <c r="T10" s="5"/>
      <c r="U10" s="488">
        <f>'CALCULO SELLO CALIZO'!H2</f>
        <v>632</v>
      </c>
      <c r="V10" s="488"/>
      <c r="W10" s="488"/>
      <c r="X10" s="488"/>
      <c r="Y10" s="488"/>
      <c r="Z10" s="488"/>
      <c r="AA10" s="488"/>
      <c r="AB10" s="488"/>
      <c r="AC10" s="488"/>
      <c r="AD10" s="488"/>
      <c r="AE10" s="341"/>
      <c r="AF10" s="1"/>
    </row>
    <row r="11" spans="1:37" ht="20.100000000000001" customHeight="1">
      <c r="A11" s="1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5" t="s">
        <v>1</v>
      </c>
      <c r="T11" s="5"/>
      <c r="U11" s="5"/>
      <c r="V11" s="7"/>
      <c r="W11" s="33" t="e">
        <f>#REF!</f>
        <v>#REF!</v>
      </c>
      <c r="X11" s="491">
        <f>'CALCULO SELLO CALIZO'!H3</f>
        <v>42341</v>
      </c>
      <c r="Y11" s="491"/>
      <c r="Z11" s="491"/>
      <c r="AA11" s="491"/>
      <c r="AB11" s="491"/>
      <c r="AC11" s="491"/>
      <c r="AD11" s="491"/>
      <c r="AE11" s="341"/>
      <c r="AF11" s="1"/>
      <c r="AG11" s="1"/>
      <c r="AH11" s="1"/>
      <c r="AI11" s="1"/>
      <c r="AJ11" s="1"/>
      <c r="AK11" s="1"/>
    </row>
    <row r="12" spans="1:37" ht="20.100000000000001" customHeight="1">
      <c r="A12" s="1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5" t="s">
        <v>2</v>
      </c>
      <c r="T12" s="5"/>
      <c r="U12" s="5"/>
      <c r="V12" s="489">
        <f>'CALCULO SELLO CALIZO'!H4</f>
        <v>42345</v>
      </c>
      <c r="W12" s="490"/>
      <c r="X12" s="490"/>
      <c r="Y12" s="490"/>
      <c r="Z12" s="490"/>
      <c r="AA12" s="490"/>
      <c r="AB12" s="490"/>
      <c r="AC12" s="490"/>
      <c r="AD12" s="490"/>
      <c r="AE12" s="341"/>
      <c r="AF12" s="1"/>
      <c r="AG12" s="1"/>
      <c r="AH12" s="1"/>
      <c r="AI12" s="1"/>
      <c r="AJ12" s="1"/>
      <c r="AK12" s="1"/>
    </row>
    <row r="13" spans="1:37" ht="20.100000000000001" customHeight="1">
      <c r="A13" s="1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342"/>
      <c r="AF13" s="1"/>
      <c r="AG13" s="1"/>
      <c r="AH13" s="1"/>
      <c r="AI13" s="1"/>
      <c r="AJ13" s="1"/>
      <c r="AK13" s="1"/>
    </row>
    <row r="14" spans="1:37" ht="15" customHeight="1">
      <c r="A14" s="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1"/>
      <c r="AG14" s="1"/>
      <c r="AH14" s="1"/>
      <c r="AI14" s="1"/>
      <c r="AJ14" s="1"/>
      <c r="AK14" s="1"/>
    </row>
    <row r="15" spans="1:37" ht="28.9" customHeight="1">
      <c r="A15" s="1"/>
      <c r="B15" s="506" t="s">
        <v>3</v>
      </c>
      <c r="C15" s="507"/>
      <c r="D15" s="500" t="s">
        <v>4</v>
      </c>
      <c r="E15" s="500"/>
      <c r="F15" s="500"/>
      <c r="G15" s="501" t="s">
        <v>441</v>
      </c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10"/>
      <c r="X15" s="10" t="s">
        <v>5</v>
      </c>
      <c r="Y15" s="10"/>
      <c r="Z15" s="10"/>
      <c r="AA15" s="10"/>
      <c r="AB15" s="494" t="s">
        <v>50</v>
      </c>
      <c r="AC15" s="494"/>
      <c r="AD15" s="494"/>
      <c r="AE15" s="343"/>
      <c r="AF15" s="1"/>
      <c r="AG15" s="1"/>
      <c r="AH15" s="1"/>
      <c r="AI15" s="1"/>
      <c r="AJ15" s="1"/>
      <c r="AK15" s="1"/>
    </row>
    <row r="16" spans="1:37" ht="28.9" customHeight="1">
      <c r="A16" s="1"/>
      <c r="B16" s="508"/>
      <c r="C16" s="509"/>
      <c r="D16" s="540" t="s">
        <v>6</v>
      </c>
      <c r="E16" s="540"/>
      <c r="F16" s="540"/>
      <c r="G16" s="540"/>
      <c r="H16" s="540"/>
      <c r="I16" s="540"/>
      <c r="J16" s="495" t="s">
        <v>51</v>
      </c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341"/>
      <c r="AF16" s="1"/>
      <c r="AG16" s="1"/>
      <c r="AH16" s="1"/>
      <c r="AI16" s="1"/>
      <c r="AJ16" s="1"/>
      <c r="AK16" s="1"/>
    </row>
    <row r="17" spans="1:37" ht="28.9" customHeight="1">
      <c r="A17" s="1"/>
      <c r="B17" s="508"/>
      <c r="C17" s="509"/>
      <c r="D17" s="540" t="s">
        <v>7</v>
      </c>
      <c r="E17" s="540"/>
      <c r="F17" s="540"/>
      <c r="G17" s="540"/>
      <c r="H17" s="540"/>
      <c r="I17" s="495" t="s">
        <v>442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341"/>
      <c r="AF17" s="1"/>
      <c r="AG17" s="1"/>
      <c r="AH17" s="1"/>
      <c r="AI17" s="1"/>
      <c r="AJ17" s="1"/>
      <c r="AK17" s="1"/>
    </row>
    <row r="18" spans="1:37" ht="28.9" customHeight="1">
      <c r="A18" s="1"/>
      <c r="B18" s="510"/>
      <c r="C18" s="511"/>
      <c r="D18" s="558" t="s">
        <v>49</v>
      </c>
      <c r="E18" s="559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9" t="s">
        <v>443</v>
      </c>
      <c r="Q18" s="559"/>
      <c r="R18" s="559"/>
      <c r="S18" s="559"/>
      <c r="T18" s="559"/>
      <c r="U18" s="559"/>
      <c r="V18" s="559"/>
      <c r="W18" s="559"/>
      <c r="X18" s="559"/>
      <c r="Y18" s="559"/>
      <c r="Z18" s="559"/>
      <c r="AA18" s="559"/>
      <c r="AB18" s="559"/>
      <c r="AC18" s="559"/>
      <c r="AD18" s="559"/>
      <c r="AE18" s="560"/>
      <c r="AF18" s="1"/>
      <c r="AG18" s="1"/>
      <c r="AH18" s="1"/>
      <c r="AI18" s="1"/>
      <c r="AJ18" s="1"/>
      <c r="AK18" s="1"/>
    </row>
    <row r="19" spans="1:37" ht="15" customHeight="1">
      <c r="A19" s="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1"/>
      <c r="AG19" s="1"/>
      <c r="AH19" s="1"/>
      <c r="AI19" s="1"/>
      <c r="AJ19" s="1"/>
      <c r="AK19" s="1"/>
    </row>
    <row r="20" spans="1:37" ht="28.5" customHeight="1">
      <c r="A20" s="1"/>
      <c r="B20" s="541" t="s">
        <v>444</v>
      </c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542"/>
      <c r="V20" s="542"/>
      <c r="W20" s="542"/>
      <c r="X20" s="542"/>
      <c r="Y20" s="542"/>
      <c r="Z20" s="542"/>
      <c r="AA20" s="542"/>
      <c r="AB20" s="542"/>
      <c r="AC20" s="542"/>
      <c r="AD20" s="542"/>
      <c r="AE20" s="543"/>
      <c r="AF20" s="1"/>
      <c r="AG20" s="1"/>
      <c r="AH20" s="1"/>
      <c r="AI20" s="1"/>
      <c r="AJ20" s="1"/>
      <c r="AK20" s="1"/>
    </row>
    <row r="21" spans="1:37" ht="34.5" customHeight="1">
      <c r="A21" s="1"/>
      <c r="B21" s="568" t="s">
        <v>8</v>
      </c>
      <c r="C21" s="568"/>
      <c r="D21" s="568"/>
      <c r="E21" s="568"/>
      <c r="F21" s="555" t="s">
        <v>32</v>
      </c>
      <c r="G21" s="556"/>
      <c r="H21" s="556"/>
      <c r="I21" s="556"/>
      <c r="J21" s="556"/>
      <c r="K21" s="557"/>
      <c r="L21" s="18"/>
      <c r="M21" s="1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11"/>
      <c r="AF21" s="1"/>
      <c r="AG21" s="1"/>
      <c r="AH21" s="1"/>
      <c r="AI21" s="1"/>
      <c r="AJ21" s="1"/>
      <c r="AK21" s="1"/>
    </row>
    <row r="22" spans="1:37" ht="41.25" customHeight="1">
      <c r="A22" s="1"/>
      <c r="B22" s="568"/>
      <c r="C22" s="568"/>
      <c r="D22" s="568"/>
      <c r="E22" s="568"/>
      <c r="F22" s="564" t="s">
        <v>445</v>
      </c>
      <c r="G22" s="565"/>
      <c r="H22" s="565"/>
      <c r="I22" s="565"/>
      <c r="J22" s="565"/>
      <c r="K22" s="566"/>
      <c r="L22" s="14"/>
      <c r="M22" s="544" t="s">
        <v>36</v>
      </c>
      <c r="N22" s="15"/>
      <c r="O22" s="6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6"/>
      <c r="AF22" s="1"/>
      <c r="AG22" s="1"/>
      <c r="AH22" s="1"/>
      <c r="AI22" s="1"/>
      <c r="AJ22" s="1"/>
      <c r="AK22" s="1"/>
    </row>
    <row r="23" spans="1:37" ht="20.100000000000001" customHeight="1">
      <c r="A23" s="1"/>
      <c r="B23" s="561" t="s">
        <v>52</v>
      </c>
      <c r="C23" s="562"/>
      <c r="D23" s="562"/>
      <c r="E23" s="563"/>
      <c r="F23" s="564">
        <f>'CALCULO SELLO CALIZO'!H12</f>
        <v>0</v>
      </c>
      <c r="G23" s="565"/>
      <c r="H23" s="565"/>
      <c r="I23" s="565"/>
      <c r="J23" s="565"/>
      <c r="K23" s="566"/>
      <c r="L23" s="14"/>
      <c r="M23" s="544"/>
      <c r="N23" s="15"/>
      <c r="O23" s="6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6"/>
      <c r="AF23" s="1"/>
      <c r="AG23" s="1"/>
      <c r="AH23" s="1"/>
      <c r="AI23" s="1"/>
      <c r="AJ23" s="1"/>
      <c r="AK23" s="1"/>
    </row>
    <row r="24" spans="1:37" ht="21" customHeight="1">
      <c r="A24" s="1"/>
      <c r="B24" s="569" t="s">
        <v>16</v>
      </c>
      <c r="C24" s="569"/>
      <c r="D24" s="570" t="s">
        <v>17</v>
      </c>
      <c r="E24" s="570"/>
      <c r="F24" s="564" t="s">
        <v>33</v>
      </c>
      <c r="G24" s="565"/>
      <c r="H24" s="565"/>
      <c r="I24" s="565"/>
      <c r="J24" s="565"/>
      <c r="K24" s="566"/>
      <c r="L24" s="14"/>
      <c r="M24" s="544"/>
      <c r="N24" s="15"/>
      <c r="O24" s="336">
        <v>25</v>
      </c>
      <c r="P24" s="15">
        <v>0</v>
      </c>
      <c r="Q24" s="15">
        <v>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6"/>
      <c r="AF24" s="1"/>
      <c r="AG24" s="1"/>
      <c r="AH24" s="1"/>
      <c r="AI24" s="1"/>
      <c r="AJ24" s="1"/>
      <c r="AK24" s="1"/>
    </row>
    <row r="25" spans="1:37" ht="21" customHeight="1">
      <c r="A25" s="1"/>
      <c r="B25" s="569"/>
      <c r="C25" s="569"/>
      <c r="D25" s="570"/>
      <c r="E25" s="570"/>
      <c r="F25" s="60" t="s">
        <v>34</v>
      </c>
      <c r="G25" s="567" t="s">
        <v>35</v>
      </c>
      <c r="H25" s="567"/>
      <c r="I25" s="567"/>
      <c r="J25" s="567"/>
      <c r="K25" s="567"/>
      <c r="L25" s="14"/>
      <c r="M25" s="544"/>
      <c r="N25" s="15"/>
      <c r="O25" s="336">
        <v>50</v>
      </c>
      <c r="P25" s="15">
        <v>0</v>
      </c>
      <c r="Q25" s="15">
        <v>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6"/>
      <c r="AF25" s="1"/>
      <c r="AG25" s="1"/>
      <c r="AH25" s="1"/>
      <c r="AI25" s="1"/>
      <c r="AJ25" s="1"/>
      <c r="AK25" s="1"/>
    </row>
    <row r="26" spans="1:37" ht="21" customHeight="1">
      <c r="A26" s="1"/>
      <c r="B26" s="554">
        <v>50</v>
      </c>
      <c r="C26" s="554"/>
      <c r="D26" s="499" t="s">
        <v>18</v>
      </c>
      <c r="E26" s="499"/>
      <c r="F26" s="58">
        <f>'CALCULO SELLO CALIZO'!F10</f>
        <v>100</v>
      </c>
      <c r="G26" s="496">
        <v>100</v>
      </c>
      <c r="H26" s="497"/>
      <c r="I26" s="497"/>
      <c r="J26" s="497"/>
      <c r="K26" s="498"/>
      <c r="L26" s="14"/>
      <c r="M26" s="544"/>
      <c r="N26" s="15"/>
      <c r="O26" s="336">
        <v>37.5</v>
      </c>
      <c r="P26" s="15">
        <v>0</v>
      </c>
      <c r="Q26" s="15">
        <v>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6"/>
      <c r="AF26" s="1"/>
      <c r="AG26" s="1"/>
      <c r="AH26" s="1"/>
      <c r="AI26" s="1"/>
      <c r="AJ26" s="1"/>
      <c r="AK26" s="1"/>
    </row>
    <row r="27" spans="1:37" ht="21" customHeight="1">
      <c r="A27" s="1"/>
      <c r="B27" s="554">
        <v>37.5</v>
      </c>
      <c r="C27" s="554"/>
      <c r="D27" s="499" t="s">
        <v>19</v>
      </c>
      <c r="E27" s="499"/>
      <c r="F27" s="58">
        <f>'CALCULO SELLO CALIZO'!F11</f>
        <v>100</v>
      </c>
      <c r="G27" s="496">
        <v>100</v>
      </c>
      <c r="H27" s="497"/>
      <c r="I27" s="497"/>
      <c r="J27" s="497"/>
      <c r="K27" s="498"/>
      <c r="L27" s="14"/>
      <c r="M27" s="544"/>
      <c r="N27" s="15"/>
      <c r="O27" s="336">
        <v>25</v>
      </c>
      <c r="P27" s="15">
        <v>100</v>
      </c>
      <c r="Q27" s="15">
        <v>100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6"/>
      <c r="AF27" s="1"/>
      <c r="AG27" s="1"/>
      <c r="AH27" s="1"/>
      <c r="AI27" s="1"/>
      <c r="AJ27" s="1"/>
      <c r="AK27" s="1"/>
    </row>
    <row r="28" spans="1:37" ht="21" customHeight="1">
      <c r="A28" s="1"/>
      <c r="B28" s="545">
        <v>25</v>
      </c>
      <c r="C28" s="545"/>
      <c r="D28" s="505" t="s">
        <v>20</v>
      </c>
      <c r="E28" s="505"/>
      <c r="F28" s="58">
        <f>'CALCULO SELLO CALIZO'!F12</f>
        <v>100</v>
      </c>
      <c r="G28" s="502"/>
      <c r="H28" s="503"/>
      <c r="I28" s="503"/>
      <c r="J28" s="503"/>
      <c r="K28" s="504"/>
      <c r="L28" s="14"/>
      <c r="M28" s="544"/>
      <c r="N28" s="15"/>
      <c r="O28" s="336">
        <v>19</v>
      </c>
      <c r="P28" s="15">
        <v>100</v>
      </c>
      <c r="Q28" s="15">
        <v>100</v>
      </c>
      <c r="R28" s="15"/>
      <c r="S28" s="17"/>
      <c r="T28" s="15"/>
      <c r="U28" s="15"/>
      <c r="V28" s="15"/>
      <c r="W28" s="15"/>
      <c r="X28" s="307">
        <v>0.25</v>
      </c>
      <c r="Y28" s="15"/>
      <c r="Z28" s="15"/>
      <c r="AA28" s="15"/>
      <c r="AB28" s="15"/>
      <c r="AC28" s="15"/>
      <c r="AD28" s="15"/>
      <c r="AE28" s="6"/>
      <c r="AF28" s="1"/>
      <c r="AG28" s="1"/>
      <c r="AH28" s="1"/>
      <c r="AI28" s="1"/>
      <c r="AJ28" s="1"/>
      <c r="AK28" s="1"/>
    </row>
    <row r="29" spans="1:37" ht="21.6" customHeight="1">
      <c r="A29" s="1"/>
      <c r="B29" s="545">
        <v>19</v>
      </c>
      <c r="C29" s="545"/>
      <c r="D29" s="505" t="s">
        <v>21</v>
      </c>
      <c r="E29" s="505"/>
      <c r="F29" s="58">
        <f>'CALCULO SELLO CALIZO'!F13</f>
        <v>100</v>
      </c>
      <c r="G29" s="502"/>
      <c r="H29" s="503"/>
      <c r="I29" s="503"/>
      <c r="J29" s="503"/>
      <c r="K29" s="504"/>
      <c r="L29" s="14"/>
      <c r="M29" s="544"/>
      <c r="N29" s="15"/>
      <c r="O29" s="336">
        <v>12.5</v>
      </c>
      <c r="P29" s="15">
        <v>100</v>
      </c>
      <c r="Q29" s="15">
        <v>100</v>
      </c>
      <c r="R29" s="15"/>
      <c r="S29" s="17"/>
      <c r="T29" s="15"/>
      <c r="U29" s="15"/>
      <c r="V29" s="15"/>
      <c r="W29" s="15"/>
      <c r="X29" s="307">
        <v>0.375</v>
      </c>
      <c r="Y29" s="15"/>
      <c r="Z29" s="15"/>
      <c r="AA29" s="15"/>
      <c r="AB29" s="15"/>
      <c r="AC29" s="15"/>
      <c r="AD29" s="15"/>
      <c r="AE29" s="6"/>
      <c r="AF29" s="1"/>
      <c r="AG29" s="1"/>
      <c r="AH29" s="1"/>
      <c r="AI29" s="1"/>
      <c r="AJ29" s="1"/>
      <c r="AK29" s="1"/>
    </row>
    <row r="30" spans="1:37" ht="21.6" customHeight="1">
      <c r="A30" s="1"/>
      <c r="B30" s="545">
        <v>12.5</v>
      </c>
      <c r="C30" s="545"/>
      <c r="D30" s="505" t="s">
        <v>22</v>
      </c>
      <c r="E30" s="505"/>
      <c r="F30" s="58">
        <f>'CALCULO SELLO CALIZO'!F14</f>
        <v>100</v>
      </c>
      <c r="G30" s="502">
        <v>100</v>
      </c>
      <c r="H30" s="503"/>
      <c r="I30" s="503"/>
      <c r="J30" s="503"/>
      <c r="K30" s="504"/>
      <c r="L30" s="14"/>
      <c r="M30" s="544"/>
      <c r="N30" s="15"/>
      <c r="O30" s="336">
        <v>9.5</v>
      </c>
      <c r="P30" s="15">
        <v>90</v>
      </c>
      <c r="Q30" s="15">
        <v>100</v>
      </c>
      <c r="R30" s="15"/>
      <c r="S30" s="17"/>
      <c r="T30" s="15"/>
      <c r="U30" s="15"/>
      <c r="V30" s="15"/>
      <c r="W30" s="15"/>
      <c r="X30" s="307">
        <v>0.5</v>
      </c>
      <c r="Y30" s="15"/>
      <c r="Z30" s="15"/>
      <c r="AA30" s="15"/>
      <c r="AB30" s="15"/>
      <c r="AC30" s="15"/>
      <c r="AD30" s="15"/>
      <c r="AE30" s="6"/>
      <c r="AF30" s="1"/>
      <c r="AG30" s="1"/>
      <c r="AH30" s="1"/>
      <c r="AI30" s="1"/>
      <c r="AJ30" s="1"/>
      <c r="AK30" s="1"/>
    </row>
    <row r="31" spans="1:37" ht="21.6" customHeight="1">
      <c r="A31" s="1"/>
      <c r="B31" s="545">
        <v>9.5</v>
      </c>
      <c r="C31" s="545"/>
      <c r="D31" s="505" t="s">
        <v>23</v>
      </c>
      <c r="E31" s="505"/>
      <c r="F31" s="44">
        <f>'CALCULO SELLO CALIZO'!F15</f>
        <v>99.749077861139682</v>
      </c>
      <c r="G31" s="502" t="s">
        <v>9</v>
      </c>
      <c r="H31" s="503"/>
      <c r="I31" s="503"/>
      <c r="J31" s="503"/>
      <c r="K31" s="504"/>
      <c r="L31" s="14"/>
      <c r="M31" s="544"/>
      <c r="N31" s="15"/>
      <c r="O31" s="336">
        <v>6.3</v>
      </c>
      <c r="P31" s="15">
        <v>70</v>
      </c>
      <c r="Q31" s="15">
        <v>81</v>
      </c>
      <c r="R31" s="15"/>
      <c r="S31" s="17"/>
      <c r="T31" s="15"/>
      <c r="U31" s="15"/>
      <c r="V31" s="15"/>
      <c r="W31" s="15"/>
      <c r="X31" s="307">
        <v>0.75</v>
      </c>
      <c r="Y31" s="15"/>
      <c r="Z31" s="15"/>
      <c r="AA31" s="15"/>
      <c r="AB31" s="15"/>
      <c r="AC31" s="15"/>
      <c r="AD31" s="15"/>
      <c r="AE31" s="6"/>
      <c r="AF31" s="1"/>
      <c r="AG31" s="1"/>
      <c r="AH31" s="1"/>
      <c r="AI31" s="1"/>
      <c r="AJ31" s="1"/>
      <c r="AK31" s="1"/>
    </row>
    <row r="32" spans="1:37" ht="21.6" customHeight="1">
      <c r="A32" s="1"/>
      <c r="B32" s="545">
        <v>6.3</v>
      </c>
      <c r="C32" s="545"/>
      <c r="D32" s="505" t="s">
        <v>24</v>
      </c>
      <c r="E32" s="505"/>
      <c r="F32" s="44">
        <f>'CALCULO SELLO CALIZO'!F16</f>
        <v>75.133616038943103</v>
      </c>
      <c r="G32" s="502" t="s">
        <v>431</v>
      </c>
      <c r="H32" s="503"/>
      <c r="I32" s="503"/>
      <c r="J32" s="503"/>
      <c r="K32" s="504"/>
      <c r="L32" s="14"/>
      <c r="M32" s="544"/>
      <c r="N32" s="15"/>
      <c r="O32" s="336">
        <v>4.75</v>
      </c>
      <c r="P32" s="15">
        <v>56</v>
      </c>
      <c r="Q32" s="15">
        <v>69</v>
      </c>
      <c r="R32" s="15"/>
      <c r="S32" s="17"/>
      <c r="T32" s="15"/>
      <c r="U32" s="15"/>
      <c r="V32" s="15"/>
      <c r="W32" s="15"/>
      <c r="X32" s="307">
        <v>4</v>
      </c>
      <c r="Y32" s="15"/>
      <c r="Z32" s="15"/>
      <c r="AA32" s="15"/>
      <c r="AB32" s="15"/>
      <c r="AC32" s="15"/>
      <c r="AD32" s="15"/>
      <c r="AE32" s="6"/>
      <c r="AF32" s="1"/>
      <c r="AG32" s="1"/>
      <c r="AH32" s="1"/>
      <c r="AI32" s="1"/>
      <c r="AJ32" s="1"/>
      <c r="AK32" s="1"/>
    </row>
    <row r="33" spans="1:37" ht="21.6" customHeight="1">
      <c r="A33" s="1"/>
      <c r="B33" s="545">
        <v>4.75</v>
      </c>
      <c r="C33" s="545"/>
      <c r="D33" s="505" t="s">
        <v>25</v>
      </c>
      <c r="E33" s="505"/>
      <c r="F33" s="44">
        <f>'CALCULO SELLO CALIZO'!F17</f>
        <v>53.167892003111419</v>
      </c>
      <c r="G33" s="502" t="s">
        <v>432</v>
      </c>
      <c r="H33" s="503"/>
      <c r="I33" s="503"/>
      <c r="J33" s="503"/>
      <c r="K33" s="504"/>
      <c r="L33" s="14"/>
      <c r="M33" s="544"/>
      <c r="N33" s="15"/>
      <c r="O33" s="336">
        <v>2</v>
      </c>
      <c r="P33" s="15">
        <v>28</v>
      </c>
      <c r="Q33" s="15">
        <v>42</v>
      </c>
      <c r="R33" s="15"/>
      <c r="S33" s="17"/>
      <c r="T33" s="15"/>
      <c r="U33" s="15"/>
      <c r="V33" s="15"/>
      <c r="W33" s="15"/>
      <c r="X33" s="307">
        <v>10</v>
      </c>
      <c r="Y33" s="15"/>
      <c r="Z33" s="15"/>
      <c r="AA33" s="15"/>
      <c r="AB33" s="15"/>
      <c r="AC33" s="15"/>
      <c r="AD33" s="15"/>
      <c r="AE33" s="6"/>
      <c r="AF33" s="1"/>
      <c r="AG33" s="1"/>
      <c r="AH33" s="1"/>
      <c r="AI33" s="1"/>
      <c r="AJ33" s="1"/>
      <c r="AK33" s="1"/>
    </row>
    <row r="34" spans="1:37" ht="21.6" customHeight="1">
      <c r="A34" s="1"/>
      <c r="B34" s="545">
        <v>2</v>
      </c>
      <c r="C34" s="545"/>
      <c r="D34" s="505" t="s">
        <v>26</v>
      </c>
      <c r="E34" s="505"/>
      <c r="F34" s="44">
        <f>'CALCULO SELLO CALIZO'!F18</f>
        <v>2.923242917722618</v>
      </c>
      <c r="G34" s="502" t="s">
        <v>433</v>
      </c>
      <c r="H34" s="503"/>
      <c r="I34" s="503"/>
      <c r="J34" s="503"/>
      <c r="K34" s="504"/>
      <c r="L34" s="14"/>
      <c r="M34" s="544"/>
      <c r="N34" s="15"/>
      <c r="O34" s="336">
        <v>0.85</v>
      </c>
      <c r="P34" s="15">
        <v>18</v>
      </c>
      <c r="Q34" s="15">
        <v>27</v>
      </c>
      <c r="R34" s="15"/>
      <c r="S34" s="17"/>
      <c r="T34" s="15"/>
      <c r="U34" s="15"/>
      <c r="V34" s="15"/>
      <c r="W34" s="15"/>
      <c r="X34" s="307">
        <v>20</v>
      </c>
      <c r="Y34" s="15"/>
      <c r="Z34" s="15"/>
      <c r="AA34" s="15"/>
      <c r="AB34" s="15"/>
      <c r="AC34" s="15"/>
      <c r="AD34" s="15"/>
      <c r="AE34" s="6"/>
      <c r="AF34" s="1"/>
      <c r="AG34" s="1"/>
      <c r="AH34" s="1"/>
      <c r="AI34" s="1"/>
      <c r="AJ34" s="1"/>
      <c r="AK34" s="1"/>
    </row>
    <row r="35" spans="1:37" ht="21.6" customHeight="1">
      <c r="A35" s="1"/>
      <c r="B35" s="545">
        <v>0.85</v>
      </c>
      <c r="C35" s="545"/>
      <c r="D35" s="505" t="s">
        <v>27</v>
      </c>
      <c r="E35" s="505"/>
      <c r="F35" s="44">
        <f>'CALCULO SELLO CALIZO'!F19</f>
        <v>2.0550523172659396</v>
      </c>
      <c r="G35" s="502" t="s">
        <v>434</v>
      </c>
      <c r="H35" s="503"/>
      <c r="I35" s="503"/>
      <c r="J35" s="503"/>
      <c r="K35" s="504"/>
      <c r="L35" s="14"/>
      <c r="M35" s="544"/>
      <c r="N35" s="15"/>
      <c r="O35" s="336">
        <v>0.42499999999999999</v>
      </c>
      <c r="P35" s="15">
        <v>13</v>
      </c>
      <c r="Q35" s="15">
        <v>20</v>
      </c>
      <c r="R35" s="15"/>
      <c r="S35" s="17"/>
      <c r="T35" s="15"/>
      <c r="U35" s="15"/>
      <c r="V35" s="15"/>
      <c r="W35" s="15"/>
      <c r="X35" s="307">
        <v>40</v>
      </c>
      <c r="Y35" s="15"/>
      <c r="Z35" s="15"/>
      <c r="AA35" s="15"/>
      <c r="AB35" s="15"/>
      <c r="AC35" s="15"/>
      <c r="AD35" s="15"/>
      <c r="AE35" s="6"/>
      <c r="AF35" s="1"/>
      <c r="AG35" s="1"/>
      <c r="AH35" s="1"/>
      <c r="AI35" s="1"/>
      <c r="AJ35" s="1"/>
      <c r="AK35" s="1"/>
    </row>
    <row r="36" spans="1:37" ht="21.6" customHeight="1">
      <c r="A36" s="1"/>
      <c r="B36" s="545">
        <v>0.42499999999999999</v>
      </c>
      <c r="C36" s="545"/>
      <c r="D36" s="505" t="s">
        <v>28</v>
      </c>
      <c r="E36" s="505"/>
      <c r="F36" s="44">
        <f>'CALCULO SELLO CALIZO'!F20</f>
        <v>0.44162296439413562</v>
      </c>
      <c r="G36" s="502" t="s">
        <v>435</v>
      </c>
      <c r="H36" s="503"/>
      <c r="I36" s="503"/>
      <c r="J36" s="503"/>
      <c r="K36" s="504"/>
      <c r="L36" s="14"/>
      <c r="M36" s="544"/>
      <c r="N36" s="15"/>
      <c r="O36" s="336">
        <v>0.25</v>
      </c>
      <c r="P36" s="15">
        <v>10</v>
      </c>
      <c r="Q36" s="15">
        <v>15</v>
      </c>
      <c r="R36" s="15"/>
      <c r="S36" s="17"/>
      <c r="T36" s="15"/>
      <c r="U36" s="15"/>
      <c r="V36" s="15"/>
      <c r="W36" s="15"/>
      <c r="X36" s="307">
        <v>60</v>
      </c>
      <c r="Y36" s="15"/>
      <c r="Z36" s="15"/>
      <c r="AA36" s="15"/>
      <c r="AB36" s="15"/>
      <c r="AC36" s="15"/>
      <c r="AD36" s="15"/>
      <c r="AE36" s="6"/>
      <c r="AF36" s="1"/>
      <c r="AG36" s="1"/>
      <c r="AH36" s="1"/>
      <c r="AI36" s="1"/>
      <c r="AJ36" s="1"/>
      <c r="AK36" s="1"/>
    </row>
    <row r="37" spans="1:37" ht="21.6" customHeight="1">
      <c r="A37" s="1"/>
      <c r="B37" s="545">
        <v>0.25</v>
      </c>
      <c r="C37" s="545"/>
      <c r="D37" s="505" t="s">
        <v>29</v>
      </c>
      <c r="E37" s="505"/>
      <c r="F37" s="44">
        <f>'CALCULO SELLO CALIZO'!F21</f>
        <v>0.44162296439413562</v>
      </c>
      <c r="G37" s="502" t="s">
        <v>436</v>
      </c>
      <c r="H37" s="503"/>
      <c r="I37" s="503"/>
      <c r="J37" s="503"/>
      <c r="K37" s="504"/>
      <c r="L37" s="14"/>
      <c r="M37" s="544"/>
      <c r="N37" s="15"/>
      <c r="O37" s="336">
        <v>0.15</v>
      </c>
      <c r="P37" s="15">
        <v>6</v>
      </c>
      <c r="Q37" s="15">
        <v>12</v>
      </c>
      <c r="R37" s="15"/>
      <c r="S37" s="17"/>
      <c r="T37" s="15"/>
      <c r="U37" s="15"/>
      <c r="V37" s="15"/>
      <c r="W37" s="15"/>
      <c r="X37" s="307">
        <v>100</v>
      </c>
      <c r="Y37" s="15"/>
      <c r="Z37" s="15"/>
      <c r="AA37" s="15"/>
      <c r="AB37" s="15"/>
      <c r="AC37" s="15"/>
      <c r="AD37" s="15"/>
      <c r="AE37" s="6"/>
      <c r="AF37" s="1"/>
      <c r="AG37" s="1"/>
      <c r="AH37" s="1"/>
      <c r="AI37" s="1"/>
      <c r="AJ37" s="1"/>
      <c r="AK37" s="1"/>
    </row>
    <row r="38" spans="1:37" ht="21.6" customHeight="1">
      <c r="A38" s="1"/>
      <c r="B38" s="545">
        <v>0.15</v>
      </c>
      <c r="C38" s="545"/>
      <c r="D38" s="505" t="s">
        <v>30</v>
      </c>
      <c r="E38" s="505"/>
      <c r="F38" s="44">
        <f>'CALCULO SELLO CALIZO'!F22</f>
        <v>0.44162296439413562</v>
      </c>
      <c r="G38" s="502" t="s">
        <v>437</v>
      </c>
      <c r="H38" s="503"/>
      <c r="I38" s="503"/>
      <c r="J38" s="503"/>
      <c r="K38" s="504"/>
      <c r="L38" s="14"/>
      <c r="M38" s="544"/>
      <c r="N38" s="15"/>
      <c r="O38" s="336">
        <v>7.4999999999999997E-2</v>
      </c>
      <c r="P38" s="15">
        <v>2</v>
      </c>
      <c r="Q38" s="15">
        <v>7</v>
      </c>
      <c r="R38" s="15"/>
      <c r="S38" s="17"/>
      <c r="T38" s="15"/>
      <c r="U38" s="15"/>
      <c r="V38" s="15"/>
      <c r="W38" s="15"/>
      <c r="X38" s="307">
        <v>200</v>
      </c>
      <c r="Y38" s="15"/>
      <c r="Z38" s="15"/>
      <c r="AA38" s="15"/>
      <c r="AB38" s="15"/>
      <c r="AC38" s="15"/>
      <c r="AD38" s="15"/>
      <c r="AE38" s="6"/>
      <c r="AF38" s="1"/>
      <c r="AG38" s="1"/>
      <c r="AH38" s="1"/>
      <c r="AI38" s="1"/>
      <c r="AJ38" s="1"/>
      <c r="AK38" s="1"/>
    </row>
    <row r="39" spans="1:37" ht="20.45" customHeight="1">
      <c r="A39" s="1"/>
      <c r="B39" s="546">
        <v>7.4999999999999997E-2</v>
      </c>
      <c r="C39" s="546"/>
      <c r="D39" s="487" t="s">
        <v>31</v>
      </c>
      <c r="E39" s="487"/>
      <c r="F39" s="338">
        <f>'CALCULO SELLO CALIZO'!F23</f>
        <v>0.44162296439413562</v>
      </c>
      <c r="G39" s="502" t="s">
        <v>438</v>
      </c>
      <c r="H39" s="503"/>
      <c r="I39" s="503"/>
      <c r="J39" s="503"/>
      <c r="K39" s="504"/>
      <c r="L39" s="14"/>
      <c r="M39" s="544"/>
      <c r="N39" s="61"/>
      <c r="O39" s="61"/>
      <c r="P39" s="550" t="s">
        <v>37</v>
      </c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  <c r="AB39" s="550"/>
      <c r="AC39" s="550"/>
      <c r="AD39" s="36"/>
      <c r="AE39" s="6"/>
      <c r="AF39" s="1"/>
      <c r="AG39" s="1"/>
      <c r="AH39" s="1"/>
      <c r="AI39" s="1"/>
      <c r="AJ39" s="1"/>
      <c r="AK39" s="1"/>
    </row>
    <row r="40" spans="1:37" ht="15" customHeight="1">
      <c r="A40" s="1"/>
      <c r="B40" s="43"/>
      <c r="C40" s="43"/>
      <c r="D40" s="35"/>
      <c r="E40" s="35"/>
      <c r="F40" s="45"/>
      <c r="G40" s="37"/>
      <c r="H40" s="37"/>
      <c r="I40" s="37"/>
      <c r="J40" s="37"/>
      <c r="K40" s="37"/>
      <c r="L40" s="41"/>
      <c r="M40" s="41"/>
      <c r="N40" s="41"/>
      <c r="O40" s="41"/>
      <c r="P40" s="46"/>
      <c r="Q40" s="41"/>
      <c r="R40" s="41"/>
      <c r="S40" s="41"/>
      <c r="T40" s="41"/>
      <c r="U40" s="41"/>
      <c r="V40" s="41"/>
      <c r="W40" s="41"/>
      <c r="X40" s="41"/>
      <c r="Y40" s="16"/>
      <c r="Z40" s="16"/>
      <c r="AA40" s="16"/>
      <c r="AB40" s="16"/>
      <c r="AC40" s="16"/>
      <c r="AD40" s="16"/>
      <c r="AE40" s="16"/>
      <c r="AF40" s="1"/>
      <c r="AG40" s="1"/>
      <c r="AH40" s="1"/>
      <c r="AI40" s="1"/>
      <c r="AJ40" s="1"/>
      <c r="AK40" s="1"/>
    </row>
    <row r="41" spans="1:37" ht="27.75" customHeight="1">
      <c r="A41" s="1"/>
      <c r="B41" s="2"/>
      <c r="C41" s="54"/>
      <c r="D41" s="552" t="s">
        <v>38</v>
      </c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47"/>
      <c r="Z41" s="38"/>
      <c r="AA41" s="38"/>
      <c r="AB41" s="38"/>
      <c r="AC41" s="38"/>
      <c r="AD41" s="38"/>
      <c r="AE41" s="38"/>
      <c r="AF41" s="1"/>
      <c r="AG41" s="1"/>
      <c r="AH41" s="1"/>
      <c r="AI41" s="1"/>
      <c r="AJ41" s="1"/>
      <c r="AK41" s="1"/>
    </row>
    <row r="42" spans="1:37" ht="21" customHeight="1">
      <c r="A42" s="1"/>
      <c r="B42" s="48"/>
      <c r="C42" s="48"/>
      <c r="D42" s="486" t="s">
        <v>45</v>
      </c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5" t="s">
        <v>34</v>
      </c>
      <c r="R42" s="485"/>
      <c r="S42" s="485"/>
      <c r="T42" s="485" t="s">
        <v>47</v>
      </c>
      <c r="U42" s="485"/>
      <c r="V42" s="485"/>
      <c r="W42" s="485"/>
      <c r="X42" s="485"/>
      <c r="Y42" s="48"/>
      <c r="Z42" s="48"/>
      <c r="AA42" s="48"/>
      <c r="AB42" s="48"/>
      <c r="AC42" s="48"/>
      <c r="AD42" s="48"/>
      <c r="AE42" s="48"/>
      <c r="AF42" s="1"/>
      <c r="AG42" s="1"/>
      <c r="AH42" s="1"/>
      <c r="AI42" s="1"/>
      <c r="AJ42" s="1"/>
      <c r="AK42" s="1"/>
    </row>
    <row r="43" spans="1:37" ht="20.45" customHeight="1">
      <c r="A43" s="1"/>
      <c r="B43" s="38"/>
      <c r="C43" s="38"/>
      <c r="D43" s="551" t="s">
        <v>39</v>
      </c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484" t="e">
        <f>'CALCULO SELLO CALIZO'!G30</f>
        <v>#DIV/0!</v>
      </c>
      <c r="R43" s="484"/>
      <c r="S43" s="484"/>
      <c r="T43" s="485">
        <v>2.4</v>
      </c>
      <c r="U43" s="485"/>
      <c r="V43" s="485"/>
      <c r="W43" s="485"/>
      <c r="X43" s="485"/>
      <c r="Y43" s="24"/>
      <c r="Z43" s="24"/>
      <c r="AA43" s="24"/>
      <c r="AB43" s="24"/>
      <c r="AC43" s="24"/>
      <c r="AD43" s="24"/>
      <c r="AE43" s="24"/>
      <c r="AF43" s="1"/>
      <c r="AG43" s="1"/>
      <c r="AH43" s="1"/>
      <c r="AI43" s="1"/>
      <c r="AJ43" s="1"/>
      <c r="AK43" s="1"/>
    </row>
    <row r="44" spans="1:37" ht="20.45" customHeight="1">
      <c r="A44" s="1"/>
      <c r="B44" s="2"/>
      <c r="C44" s="38"/>
      <c r="D44" s="539" t="s">
        <v>40</v>
      </c>
      <c r="E44" s="539"/>
      <c r="F44" s="539"/>
      <c r="G44" s="539"/>
      <c r="H44" s="539"/>
      <c r="I44" s="539"/>
      <c r="J44" s="539"/>
      <c r="K44" s="539"/>
      <c r="L44" s="539"/>
      <c r="M44" s="539"/>
      <c r="N44" s="539"/>
      <c r="O44" s="539"/>
      <c r="P44" s="539"/>
      <c r="Q44" s="538">
        <f>'CALCULO SELLO CALIZO'!H48</f>
        <v>24.400000000000006</v>
      </c>
      <c r="R44" s="538"/>
      <c r="S44" s="538"/>
      <c r="T44" s="485">
        <v>30</v>
      </c>
      <c r="U44" s="485"/>
      <c r="V44" s="485"/>
      <c r="W44" s="485"/>
      <c r="X44" s="485"/>
      <c r="Y44" s="24"/>
      <c r="Z44" s="24"/>
      <c r="AA44" s="24"/>
      <c r="AB44" s="24"/>
      <c r="AC44" s="24"/>
      <c r="AD44" s="24"/>
      <c r="AE44" s="24"/>
      <c r="AF44" s="1"/>
      <c r="AG44" s="1"/>
      <c r="AH44" s="1"/>
      <c r="AI44" s="1"/>
      <c r="AJ44" s="1"/>
      <c r="AK44" s="1"/>
    </row>
    <row r="45" spans="1:37" ht="20.45" customHeight="1">
      <c r="A45" s="1"/>
      <c r="B45" s="38"/>
      <c r="C45" s="38"/>
      <c r="D45" s="539" t="s">
        <v>41</v>
      </c>
      <c r="E45" s="539"/>
      <c r="F45" s="539"/>
      <c r="G45" s="539"/>
      <c r="H45" s="539"/>
      <c r="I45" s="539"/>
      <c r="J45" s="539"/>
      <c r="K45" s="539"/>
      <c r="L45" s="539"/>
      <c r="M45" s="539"/>
      <c r="N45" s="539"/>
      <c r="O45" s="539"/>
      <c r="P45" s="539"/>
      <c r="Q45" s="537">
        <f>'CALCULO SELLO CALIZO'!E50</f>
        <v>32.333333333333329</v>
      </c>
      <c r="R45" s="518"/>
      <c r="S45" s="518"/>
      <c r="T45" s="485">
        <v>35</v>
      </c>
      <c r="U45" s="485"/>
      <c r="V45" s="485"/>
      <c r="W45" s="485"/>
      <c r="X45" s="485"/>
      <c r="Y45" s="24"/>
      <c r="Z45" s="24"/>
      <c r="AA45" s="24"/>
      <c r="AB45" s="24"/>
      <c r="AC45" s="24"/>
      <c r="AD45" s="24"/>
      <c r="AE45" s="24"/>
      <c r="AF45" s="1"/>
      <c r="AG45" s="1"/>
      <c r="AH45" s="1"/>
      <c r="AI45" s="1"/>
      <c r="AJ45" s="1"/>
      <c r="AK45" s="1"/>
    </row>
    <row r="46" spans="1:37" ht="20.45" customHeight="1">
      <c r="A46" s="1"/>
      <c r="B46" s="38"/>
      <c r="C46" s="38"/>
      <c r="D46" s="539" t="s">
        <v>42</v>
      </c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38" t="e">
        <f>'CALCULO SELLO CALIZO'!H57</f>
        <v>#DIV/0!</v>
      </c>
      <c r="R46" s="538"/>
      <c r="S46" s="538"/>
      <c r="T46" s="485">
        <v>50</v>
      </c>
      <c r="U46" s="485"/>
      <c r="V46" s="485"/>
      <c r="W46" s="485"/>
      <c r="X46" s="485"/>
      <c r="Y46" s="24"/>
      <c r="Z46" s="24"/>
      <c r="AA46" s="24"/>
      <c r="AB46" s="24"/>
      <c r="AC46" s="24"/>
      <c r="AD46" s="24"/>
      <c r="AE46" s="24"/>
      <c r="AF46" s="1"/>
      <c r="AG46" s="1"/>
      <c r="AH46" s="1"/>
      <c r="AI46" s="1"/>
      <c r="AJ46" s="1"/>
      <c r="AK46" s="1"/>
    </row>
    <row r="47" spans="1:37" ht="20.45" customHeight="1">
      <c r="A47" s="1"/>
      <c r="B47" s="38"/>
      <c r="C47" s="38"/>
      <c r="D47" s="527" t="s">
        <v>43</v>
      </c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  <c r="P47" s="529"/>
      <c r="Q47" s="518"/>
      <c r="R47" s="518"/>
      <c r="S47" s="518"/>
      <c r="T47" s="485">
        <v>25</v>
      </c>
      <c r="U47" s="485"/>
      <c r="V47" s="485"/>
      <c r="W47" s="485"/>
      <c r="X47" s="485"/>
      <c r="Y47" s="24"/>
      <c r="Z47" s="24"/>
      <c r="AA47" s="24"/>
      <c r="AB47" s="24"/>
      <c r="AC47" s="24"/>
      <c r="AD47" s="24"/>
      <c r="AE47" s="24"/>
      <c r="AF47" s="1"/>
      <c r="AG47" s="1"/>
      <c r="AH47" s="1"/>
      <c r="AI47" s="1"/>
      <c r="AJ47" s="1"/>
      <c r="AK47" s="1"/>
    </row>
    <row r="48" spans="1:37" ht="20.45" customHeight="1">
      <c r="A48" s="1"/>
      <c r="B48" s="38"/>
      <c r="C48" s="38"/>
      <c r="D48" s="530" t="s">
        <v>55</v>
      </c>
      <c r="E48" s="530"/>
      <c r="F48" s="530"/>
      <c r="G48" s="486" t="s">
        <v>53</v>
      </c>
      <c r="H48" s="486"/>
      <c r="I48" s="486"/>
      <c r="J48" s="486"/>
      <c r="K48" s="486"/>
      <c r="L48" s="486"/>
      <c r="M48" s="486"/>
      <c r="N48" s="486"/>
      <c r="O48" s="486"/>
      <c r="P48" s="486"/>
      <c r="Q48" s="484" t="e">
        <f>'CALCULO SELLO CALIZO'!G33</f>
        <v>#DIV/0!</v>
      </c>
      <c r="R48" s="484"/>
      <c r="S48" s="484"/>
      <c r="T48" s="485"/>
      <c r="U48" s="485"/>
      <c r="V48" s="485"/>
      <c r="W48" s="485"/>
      <c r="X48" s="485"/>
      <c r="Y48" s="24"/>
      <c r="Z48" s="24"/>
      <c r="AA48" s="24"/>
      <c r="AB48" s="24"/>
      <c r="AC48" s="24"/>
      <c r="AD48" s="24"/>
      <c r="AE48" s="24"/>
      <c r="AF48" s="1"/>
      <c r="AG48" s="1"/>
      <c r="AH48" s="1"/>
      <c r="AI48" s="1"/>
      <c r="AJ48" s="1"/>
      <c r="AK48" s="1"/>
    </row>
    <row r="49" spans="1:37" ht="20.45" customHeight="1">
      <c r="A49" s="1"/>
      <c r="B49" s="38"/>
      <c r="C49" s="38"/>
      <c r="D49" s="530"/>
      <c r="E49" s="530"/>
      <c r="F49" s="530"/>
      <c r="G49" s="486" t="s">
        <v>54</v>
      </c>
      <c r="H49" s="486"/>
      <c r="I49" s="486"/>
      <c r="J49" s="486"/>
      <c r="K49" s="486"/>
      <c r="L49" s="486"/>
      <c r="M49" s="486"/>
      <c r="N49" s="486"/>
      <c r="O49" s="486"/>
      <c r="P49" s="486"/>
      <c r="Q49" s="526">
        <v>100</v>
      </c>
      <c r="R49" s="526"/>
      <c r="S49" s="526"/>
      <c r="T49" s="485"/>
      <c r="U49" s="485"/>
      <c r="V49" s="485"/>
      <c r="W49" s="485"/>
      <c r="X49" s="485"/>
      <c r="Y49" s="24"/>
      <c r="Z49" s="24"/>
      <c r="AA49" s="24"/>
      <c r="AB49" s="24"/>
      <c r="AC49" s="24"/>
      <c r="AD49" s="24"/>
      <c r="AE49" s="24"/>
      <c r="AF49" s="1"/>
      <c r="AG49" s="1"/>
      <c r="AH49" s="1"/>
      <c r="AI49" s="1"/>
      <c r="AJ49" s="1"/>
      <c r="AK49" s="1"/>
    </row>
    <row r="50" spans="1:37" ht="15" customHeight="1">
      <c r="A50" s="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4"/>
      <c r="X50" s="49"/>
      <c r="Y50" s="49"/>
      <c r="Z50" s="49"/>
      <c r="AA50" s="49"/>
      <c r="AB50" s="49"/>
      <c r="AC50" s="49"/>
      <c r="AD50" s="49"/>
      <c r="AE50" s="49"/>
      <c r="AF50" s="1"/>
      <c r="AG50" s="1"/>
      <c r="AH50" s="1"/>
      <c r="AI50" s="1"/>
      <c r="AJ50" s="1"/>
      <c r="AK50" s="1"/>
    </row>
    <row r="51" spans="1:37" ht="19.5" hidden="1" customHeight="1">
      <c r="A51" s="1"/>
      <c r="B51" s="24"/>
      <c r="C51" s="24"/>
      <c r="D51" s="24"/>
      <c r="E51" s="24"/>
      <c r="F51" s="42"/>
      <c r="G51" s="50"/>
      <c r="H51" s="50"/>
      <c r="I51" s="50"/>
      <c r="J51" s="50"/>
      <c r="K51" s="50"/>
      <c r="L51" s="24"/>
      <c r="M51" s="38"/>
      <c r="N51" s="38"/>
      <c r="O51" s="38"/>
      <c r="P51" s="38"/>
      <c r="Q51" s="51"/>
      <c r="R51" s="51"/>
      <c r="S51" s="12"/>
      <c r="T51" s="12"/>
      <c r="U51" s="12"/>
      <c r="V51" s="12"/>
      <c r="W51" s="24"/>
      <c r="X51" s="38"/>
      <c r="Y51" s="38"/>
      <c r="Z51" s="38"/>
      <c r="AA51" s="38"/>
      <c r="AB51" s="38"/>
      <c r="AC51" s="39"/>
      <c r="AD51" s="39"/>
      <c r="AE51" s="39"/>
      <c r="AF51" s="1"/>
      <c r="AG51" s="1"/>
      <c r="AH51" s="1"/>
      <c r="AI51" s="1"/>
      <c r="AJ51" s="1"/>
      <c r="AK51" s="1"/>
    </row>
    <row r="52" spans="1:37" ht="19.5" hidden="1" customHeight="1">
      <c r="A52" s="1"/>
      <c r="B52" s="52"/>
      <c r="C52" s="52"/>
      <c r="D52" s="24"/>
      <c r="E52" s="24"/>
      <c r="F52" s="34"/>
      <c r="G52" s="12"/>
      <c r="H52" s="12"/>
      <c r="I52" s="12"/>
      <c r="J52" s="12"/>
      <c r="K52" s="12"/>
      <c r="L52" s="24"/>
      <c r="M52" s="38"/>
      <c r="N52" s="38"/>
      <c r="O52" s="38"/>
      <c r="P52" s="38"/>
      <c r="Q52" s="51"/>
      <c r="R52" s="51"/>
      <c r="S52" s="12"/>
      <c r="T52" s="12"/>
      <c r="U52" s="12"/>
      <c r="V52" s="12"/>
      <c r="W52" s="24"/>
      <c r="X52" s="38"/>
      <c r="Y52" s="38"/>
      <c r="Z52" s="38"/>
      <c r="AA52" s="38"/>
      <c r="AB52" s="38"/>
      <c r="AC52" s="39"/>
      <c r="AD52" s="39"/>
      <c r="AE52" s="39"/>
      <c r="AF52" s="1"/>
      <c r="AG52" s="1"/>
      <c r="AH52" s="1"/>
      <c r="AI52" s="1"/>
      <c r="AJ52" s="1"/>
      <c r="AK52" s="1"/>
    </row>
    <row r="53" spans="1:37" ht="19.5" hidden="1" customHeight="1">
      <c r="A53" s="1"/>
      <c r="B53" s="52"/>
      <c r="C53" s="52"/>
      <c r="D53" s="24"/>
      <c r="E53" s="24"/>
      <c r="F53" s="34"/>
      <c r="G53" s="12"/>
      <c r="H53" s="12"/>
      <c r="I53" s="12"/>
      <c r="J53" s="12"/>
      <c r="K53" s="12"/>
      <c r="L53" s="24"/>
      <c r="M53" s="38"/>
      <c r="N53" s="38"/>
      <c r="O53" s="38"/>
      <c r="P53" s="38"/>
      <c r="Q53" s="50"/>
      <c r="R53" s="50"/>
      <c r="S53" s="53"/>
      <c r="T53" s="53"/>
      <c r="U53" s="53"/>
      <c r="V53" s="53"/>
      <c r="W53" s="24"/>
      <c r="X53" s="38"/>
      <c r="Y53" s="38"/>
      <c r="Z53" s="38"/>
      <c r="AA53" s="38"/>
      <c r="AB53" s="38"/>
      <c r="AC53" s="39"/>
      <c r="AD53" s="39"/>
      <c r="AE53" s="39"/>
      <c r="AF53" s="1"/>
      <c r="AG53" s="1"/>
      <c r="AH53" s="1"/>
      <c r="AI53" s="1"/>
      <c r="AJ53" s="1"/>
      <c r="AK53" s="1"/>
    </row>
    <row r="54" spans="1:37" ht="19.5" hidden="1" customHeight="1">
      <c r="A54" s="1"/>
      <c r="B54" s="52"/>
      <c r="C54" s="52"/>
      <c r="D54" s="24"/>
      <c r="E54" s="24"/>
      <c r="F54" s="34"/>
      <c r="G54" s="12"/>
      <c r="H54" s="12"/>
      <c r="I54" s="12"/>
      <c r="J54" s="12"/>
      <c r="K54" s="12"/>
      <c r="L54" s="24"/>
      <c r="M54" s="38"/>
      <c r="N54" s="38"/>
      <c r="O54" s="38"/>
      <c r="P54" s="38"/>
      <c r="Q54" s="50"/>
      <c r="R54" s="50"/>
      <c r="S54" s="53"/>
      <c r="T54" s="53"/>
      <c r="U54" s="53"/>
      <c r="V54" s="53"/>
      <c r="W54" s="24"/>
      <c r="X54" s="38"/>
      <c r="Y54" s="38"/>
      <c r="Z54" s="38"/>
      <c r="AA54" s="38"/>
      <c r="AB54" s="38"/>
      <c r="AC54" s="39"/>
      <c r="AD54" s="39"/>
      <c r="AE54" s="39"/>
      <c r="AF54" s="1"/>
      <c r="AG54" s="1"/>
      <c r="AH54" s="1"/>
      <c r="AI54" s="1"/>
      <c r="AJ54" s="1"/>
      <c r="AK54" s="1"/>
    </row>
    <row r="55" spans="1:37" ht="19.5" hidden="1" customHeight="1">
      <c r="A55" s="1"/>
      <c r="B55" s="24"/>
      <c r="C55" s="24"/>
      <c r="D55" s="24"/>
      <c r="E55" s="24"/>
      <c r="F55" s="34"/>
      <c r="G55" s="12"/>
      <c r="H55" s="12"/>
      <c r="I55" s="12"/>
      <c r="J55" s="12"/>
      <c r="K55" s="12"/>
      <c r="L55" s="24"/>
      <c r="M55" s="38"/>
      <c r="N55" s="38"/>
      <c r="O55" s="38"/>
      <c r="P55" s="38"/>
      <c r="Q55" s="50"/>
      <c r="R55" s="50"/>
      <c r="S55" s="12"/>
      <c r="T55" s="12"/>
      <c r="U55" s="12"/>
      <c r="V55" s="12"/>
      <c r="W55" s="24"/>
      <c r="X55" s="38"/>
      <c r="Y55" s="38"/>
      <c r="Z55" s="38"/>
      <c r="AA55" s="38"/>
      <c r="AB55" s="38"/>
      <c r="AC55" s="39"/>
      <c r="AD55" s="39"/>
      <c r="AE55" s="39"/>
      <c r="AF55" s="1"/>
      <c r="AG55" s="1"/>
      <c r="AH55" s="1"/>
      <c r="AI55" s="1"/>
      <c r="AJ55" s="1"/>
      <c r="AK55" s="1"/>
    </row>
    <row r="56" spans="1:37" ht="7.5" hidden="1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"/>
      <c r="AG56" s="1"/>
      <c r="AH56" s="1"/>
      <c r="AI56" s="1"/>
      <c r="AJ56" s="1"/>
      <c r="AK56" s="1"/>
    </row>
    <row r="57" spans="1:37" ht="23.45" customHeight="1">
      <c r="A57" s="1"/>
      <c r="B57" s="516" t="s">
        <v>10</v>
      </c>
      <c r="C57" s="517"/>
      <c r="D57" s="517"/>
      <c r="E57" s="517"/>
      <c r="F57" s="517"/>
      <c r="G57" s="517"/>
      <c r="H57" s="517"/>
      <c r="I57" s="517"/>
      <c r="J57" s="517"/>
      <c r="K57" s="517"/>
      <c r="L57" s="16"/>
      <c r="M57" s="16"/>
      <c r="N57" s="16"/>
      <c r="O57" s="16"/>
      <c r="P57" s="16"/>
      <c r="Q57" s="16"/>
      <c r="R57" s="16"/>
      <c r="S57" s="5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1"/>
      <c r="AF57" s="1"/>
      <c r="AG57" s="1"/>
      <c r="AH57" s="1"/>
      <c r="AI57" s="1"/>
      <c r="AJ57" s="1"/>
      <c r="AK57" s="1"/>
    </row>
    <row r="58" spans="1:37" ht="23.45" customHeight="1">
      <c r="A58" s="1"/>
      <c r="B58" s="519" t="s">
        <v>446</v>
      </c>
      <c r="C58" s="520"/>
      <c r="D58" s="520"/>
      <c r="E58" s="520"/>
      <c r="F58" s="520"/>
      <c r="G58" s="520"/>
      <c r="H58" s="520"/>
      <c r="I58" s="520"/>
      <c r="J58" s="520"/>
      <c r="K58" s="520"/>
      <c r="L58" s="520"/>
      <c r="M58" s="520"/>
      <c r="N58" s="520"/>
      <c r="O58" s="520"/>
      <c r="P58" s="520"/>
      <c r="Q58" s="520"/>
      <c r="R58" s="520"/>
      <c r="S58" s="520"/>
      <c r="T58" s="520"/>
      <c r="U58" s="520"/>
      <c r="V58" s="520"/>
      <c r="W58" s="520"/>
      <c r="X58" s="520"/>
      <c r="Y58" s="520"/>
      <c r="Z58" s="520"/>
      <c r="AA58" s="520"/>
      <c r="AB58" s="520"/>
      <c r="AC58" s="520"/>
      <c r="AD58" s="520"/>
      <c r="AE58" s="521"/>
      <c r="AF58" s="1"/>
      <c r="AG58" s="1"/>
      <c r="AH58" s="1"/>
      <c r="AI58" s="1"/>
      <c r="AJ58" s="1"/>
      <c r="AK58" s="1"/>
    </row>
    <row r="59" spans="1:37" ht="23.45" customHeight="1">
      <c r="A59" s="1"/>
      <c r="B59" s="519"/>
      <c r="C59" s="520"/>
      <c r="D59" s="520"/>
      <c r="E59" s="520"/>
      <c r="F59" s="520"/>
      <c r="G59" s="520"/>
      <c r="H59" s="520"/>
      <c r="I59" s="520"/>
      <c r="J59" s="520"/>
      <c r="K59" s="520"/>
      <c r="L59" s="520"/>
      <c r="M59" s="520"/>
      <c r="N59" s="520"/>
      <c r="O59" s="520"/>
      <c r="P59" s="520"/>
      <c r="Q59" s="520"/>
      <c r="R59" s="520"/>
      <c r="S59" s="520"/>
      <c r="T59" s="520"/>
      <c r="U59" s="520"/>
      <c r="V59" s="520"/>
      <c r="W59" s="520"/>
      <c r="X59" s="520"/>
      <c r="Y59" s="520"/>
      <c r="Z59" s="520"/>
      <c r="AA59" s="520"/>
      <c r="AB59" s="520"/>
      <c r="AC59" s="520"/>
      <c r="AD59" s="520"/>
      <c r="AE59" s="521"/>
      <c r="AF59" s="1"/>
      <c r="AG59" s="1"/>
      <c r="AH59" s="1"/>
      <c r="AI59" s="1"/>
      <c r="AJ59" s="1"/>
      <c r="AK59" s="1"/>
    </row>
    <row r="60" spans="1:37" ht="23.45" customHeight="1">
      <c r="A60" s="1"/>
      <c r="B60" s="522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3"/>
      <c r="V60" s="523"/>
      <c r="W60" s="523"/>
      <c r="X60" s="523"/>
      <c r="Y60" s="523"/>
      <c r="Z60" s="523"/>
      <c r="AA60" s="523"/>
      <c r="AB60" s="523"/>
      <c r="AC60" s="523"/>
      <c r="AD60" s="523"/>
      <c r="AE60" s="524"/>
      <c r="AF60" s="1"/>
      <c r="AG60" s="1"/>
      <c r="AH60" s="1"/>
      <c r="AI60" s="1"/>
      <c r="AJ60" s="1"/>
      <c r="AK60" s="1"/>
    </row>
    <row r="61" spans="1:37" ht="15" customHeight="1">
      <c r="A61" s="1"/>
      <c r="B61" s="4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41"/>
      <c r="AF61" s="1"/>
      <c r="AG61" s="1"/>
      <c r="AH61" s="1"/>
      <c r="AI61" s="1"/>
      <c r="AJ61" s="1"/>
      <c r="AK61" s="1"/>
    </row>
    <row r="62" spans="1:37" ht="17.45" customHeight="1">
      <c r="A62" s="1"/>
      <c r="B62" s="18"/>
      <c r="C62" s="525" t="s">
        <v>11</v>
      </c>
      <c r="D62" s="525"/>
      <c r="E62" s="525"/>
      <c r="F62" s="22"/>
      <c r="G62" s="21"/>
      <c r="H62" s="20"/>
      <c r="I62" s="525" t="s">
        <v>12</v>
      </c>
      <c r="J62" s="525"/>
      <c r="K62" s="525"/>
      <c r="L62" s="525"/>
      <c r="M62" s="525"/>
      <c r="N62" s="525"/>
      <c r="O62" s="525"/>
      <c r="P62" s="525"/>
      <c r="Q62" s="525"/>
      <c r="R62" s="20"/>
      <c r="S62" s="531" t="s">
        <v>450</v>
      </c>
      <c r="T62" s="532"/>
      <c r="U62" s="532"/>
      <c r="V62" s="532"/>
      <c r="W62" s="532"/>
      <c r="X62" s="532"/>
      <c r="Y62" s="532"/>
      <c r="Z62" s="532"/>
      <c r="AA62" s="532"/>
      <c r="AB62" s="532"/>
      <c r="AC62" s="532"/>
      <c r="AD62" s="532"/>
      <c r="AE62" s="533"/>
      <c r="AF62" s="1"/>
      <c r="AG62" s="1"/>
      <c r="AH62" s="1"/>
      <c r="AI62" s="1"/>
      <c r="AJ62" s="1"/>
      <c r="AK62" s="1"/>
    </row>
    <row r="63" spans="1:37" ht="51" customHeight="1">
      <c r="A63" s="1"/>
      <c r="B63" s="25"/>
      <c r="C63" s="24"/>
      <c r="D63" s="24"/>
      <c r="E63" s="24"/>
      <c r="F63" s="27"/>
      <c r="G63" s="26"/>
      <c r="H63" s="24"/>
      <c r="I63" s="24"/>
      <c r="J63" s="24"/>
      <c r="K63" s="24"/>
      <c r="L63" s="24"/>
      <c r="M63" s="24"/>
      <c r="N63" s="19"/>
      <c r="O63" s="19"/>
      <c r="P63" s="19"/>
      <c r="Q63" s="17"/>
      <c r="R63" s="17"/>
      <c r="S63" s="2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9"/>
      <c r="AE63" s="6"/>
      <c r="AF63" s="1"/>
      <c r="AG63" s="1"/>
      <c r="AH63" s="1"/>
      <c r="AI63" s="1"/>
      <c r="AJ63" s="1"/>
      <c r="AK63" s="1"/>
    </row>
    <row r="64" spans="1:37" ht="22.9" customHeight="1">
      <c r="A64" s="1"/>
      <c r="B64" s="513" t="s">
        <v>447</v>
      </c>
      <c r="C64" s="514"/>
      <c r="D64" s="514"/>
      <c r="E64" s="514"/>
      <c r="F64" s="515"/>
      <c r="G64" s="513" t="s">
        <v>448</v>
      </c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5"/>
      <c r="S64" s="534" t="s">
        <v>449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6"/>
      <c r="AF64" s="1"/>
      <c r="AG64" s="1"/>
      <c r="AH64" s="1"/>
      <c r="AI64" s="1"/>
      <c r="AJ64" s="1"/>
      <c r="AK64" s="1"/>
    </row>
    <row r="65" spans="1:37" ht="6.6" customHeight="1">
      <c r="A65" s="1"/>
      <c r="B65" s="13"/>
      <c r="C65" s="28"/>
      <c r="D65" s="28"/>
      <c r="E65" s="28"/>
      <c r="F65" s="30"/>
      <c r="G65" s="29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9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9"/>
      <c r="AF65" s="1"/>
      <c r="AG65" s="1"/>
      <c r="AH65" s="1"/>
      <c r="AI65" s="1"/>
      <c r="AJ65" s="1"/>
      <c r="AK65" s="1"/>
    </row>
    <row r="66" spans="1:37" ht="16.149999999999999" customHeight="1">
      <c r="A66" s="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512" t="s">
        <v>13</v>
      </c>
      <c r="AB66" s="512"/>
      <c r="AC66" s="512"/>
      <c r="AD66" s="512"/>
      <c r="AE66" s="512"/>
      <c r="AF66" s="1"/>
      <c r="AG66" s="1"/>
      <c r="AH66" s="1"/>
      <c r="AI66" s="1"/>
      <c r="AJ66" s="1"/>
      <c r="AK66" s="1"/>
    </row>
    <row r="67" spans="1:37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</sheetData>
  <mergeCells count="108">
    <mergeCell ref="G27:K27"/>
    <mergeCell ref="B33:C33"/>
    <mergeCell ref="B34:C34"/>
    <mergeCell ref="B35:C35"/>
    <mergeCell ref="B36:C36"/>
    <mergeCell ref="B37:C37"/>
    <mergeCell ref="G37:K37"/>
    <mergeCell ref="D18:O18"/>
    <mergeCell ref="P18:AE18"/>
    <mergeCell ref="B23:E23"/>
    <mergeCell ref="F23:K23"/>
    <mergeCell ref="F22:K22"/>
    <mergeCell ref="F24:K24"/>
    <mergeCell ref="G25:K25"/>
    <mergeCell ref="B21:E22"/>
    <mergeCell ref="B24:C25"/>
    <mergeCell ref="D24:E25"/>
    <mergeCell ref="AA4:AD5"/>
    <mergeCell ref="B6:AE6"/>
    <mergeCell ref="P39:AC39"/>
    <mergeCell ref="D44:P44"/>
    <mergeCell ref="D43:P43"/>
    <mergeCell ref="Q42:S42"/>
    <mergeCell ref="Q44:S44"/>
    <mergeCell ref="T42:X42"/>
    <mergeCell ref="T44:X44"/>
    <mergeCell ref="G31:K31"/>
    <mergeCell ref="G32:K32"/>
    <mergeCell ref="G36:K36"/>
    <mergeCell ref="D41:X41"/>
    <mergeCell ref="D30:E30"/>
    <mergeCell ref="D34:E34"/>
    <mergeCell ref="D35:E35"/>
    <mergeCell ref="B28:C28"/>
    <mergeCell ref="B29:C29"/>
    <mergeCell ref="B30:C30"/>
    <mergeCell ref="B31:C31"/>
    <mergeCell ref="B32:C32"/>
    <mergeCell ref="B26:C26"/>
    <mergeCell ref="B27:C27"/>
    <mergeCell ref="F21:K21"/>
    <mergeCell ref="Q45:S45"/>
    <mergeCell ref="Q46:S46"/>
    <mergeCell ref="T45:X45"/>
    <mergeCell ref="T46:X46"/>
    <mergeCell ref="D46:P46"/>
    <mergeCell ref="D45:P45"/>
    <mergeCell ref="D16:I16"/>
    <mergeCell ref="D17:H17"/>
    <mergeCell ref="B20:AE20"/>
    <mergeCell ref="N21:AD21"/>
    <mergeCell ref="M22:M39"/>
    <mergeCell ref="D32:E32"/>
    <mergeCell ref="G34:K34"/>
    <mergeCell ref="D33:E33"/>
    <mergeCell ref="G35:K35"/>
    <mergeCell ref="G39:K39"/>
    <mergeCell ref="B38:C38"/>
    <mergeCell ref="B39:C39"/>
    <mergeCell ref="D36:E36"/>
    <mergeCell ref="G38:K38"/>
    <mergeCell ref="G33:K33"/>
    <mergeCell ref="D38:E38"/>
    <mergeCell ref="D37:E37"/>
    <mergeCell ref="G29:K29"/>
    <mergeCell ref="AA66:AE66"/>
    <mergeCell ref="B64:F64"/>
    <mergeCell ref="T47:X47"/>
    <mergeCell ref="B57:K57"/>
    <mergeCell ref="Q47:S47"/>
    <mergeCell ref="B58:AE60"/>
    <mergeCell ref="I62:Q62"/>
    <mergeCell ref="C62:E62"/>
    <mergeCell ref="Q49:S49"/>
    <mergeCell ref="T49:X49"/>
    <mergeCell ref="Q48:S48"/>
    <mergeCell ref="T48:X48"/>
    <mergeCell ref="D47:P47"/>
    <mergeCell ref="D48:F49"/>
    <mergeCell ref="G48:P48"/>
    <mergeCell ref="G49:P49"/>
    <mergeCell ref="S62:AE62"/>
    <mergeCell ref="G64:R64"/>
    <mergeCell ref="S64:AE64"/>
    <mergeCell ref="B7:AF7"/>
    <mergeCell ref="Q43:S43"/>
    <mergeCell ref="T43:X43"/>
    <mergeCell ref="D42:P42"/>
    <mergeCell ref="D39:E39"/>
    <mergeCell ref="U10:AD10"/>
    <mergeCell ref="V12:AD12"/>
    <mergeCell ref="X11:AD11"/>
    <mergeCell ref="B9:D13"/>
    <mergeCell ref="E9:R13"/>
    <mergeCell ref="AB15:AD15"/>
    <mergeCell ref="J16:AD16"/>
    <mergeCell ref="I17:AD17"/>
    <mergeCell ref="G26:K26"/>
    <mergeCell ref="D26:E26"/>
    <mergeCell ref="D15:F15"/>
    <mergeCell ref="G15:V15"/>
    <mergeCell ref="G28:K28"/>
    <mergeCell ref="D27:E27"/>
    <mergeCell ref="D31:E31"/>
    <mergeCell ref="D28:E28"/>
    <mergeCell ref="G30:K30"/>
    <mergeCell ref="D29:E29"/>
    <mergeCell ref="B15:C18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view="pageBreakPreview" topLeftCell="A13" zoomScale="55" zoomScaleSheetLayoutView="55" workbookViewId="0">
      <selection activeCell="F32" sqref="F32"/>
    </sheetView>
  </sheetViews>
  <sheetFormatPr baseColWidth="10" defaultRowHeight="12.75"/>
  <cols>
    <col min="1" max="1" width="0.85546875" customWidth="1"/>
    <col min="2" max="2" width="10" customWidth="1"/>
    <col min="3" max="3" width="4.28515625" customWidth="1"/>
    <col min="4" max="4" width="7.42578125" customWidth="1"/>
    <col min="5" max="5" width="18.5703125" customWidth="1"/>
    <col min="6" max="6" width="16.42578125" customWidth="1"/>
    <col min="7" max="7" width="4.28515625" customWidth="1"/>
    <col min="8" max="8" width="4.7109375" customWidth="1"/>
    <col min="9" max="9" width="5.5703125" customWidth="1"/>
    <col min="10" max="10" width="2.28515625" customWidth="1"/>
    <col min="11" max="11" width="5.140625" customWidth="1"/>
    <col min="12" max="12" width="1.28515625" customWidth="1"/>
    <col min="13" max="13" width="4.28515625" customWidth="1"/>
    <col min="14" max="14" width="2.7109375" customWidth="1"/>
    <col min="15" max="15" width="6.5703125" customWidth="1"/>
    <col min="16" max="16" width="9.42578125" customWidth="1"/>
    <col min="17" max="17" width="10.5703125" customWidth="1"/>
    <col min="18" max="18" width="3.140625" customWidth="1"/>
    <col min="19" max="19" width="8" customWidth="1"/>
    <col min="20" max="20" width="10.42578125" customWidth="1"/>
    <col min="21" max="21" width="3" customWidth="1"/>
    <col min="22" max="22" width="6" customWidth="1"/>
    <col min="23" max="23" width="0.140625" customWidth="1"/>
    <col min="24" max="24" width="5" customWidth="1"/>
    <col min="25" max="25" width="4.5703125" customWidth="1"/>
    <col min="26" max="26" width="3.7109375" customWidth="1"/>
    <col min="27" max="27" width="9.42578125" customWidth="1"/>
    <col min="28" max="28" width="5" customWidth="1"/>
    <col min="29" max="29" width="5.140625" customWidth="1"/>
    <col min="30" max="30" width="8.140625" customWidth="1"/>
    <col min="31" max="31" width="3.5703125" customWidth="1"/>
    <col min="32" max="32" width="1" customWidth="1"/>
  </cols>
  <sheetData>
    <row r="1" spans="1:37" ht="22.15" customHeight="1"/>
    <row r="2" spans="1:37" ht="23.25" customHeight="1"/>
    <row r="3" spans="1:37" ht="22.15" customHeight="1"/>
    <row r="4" spans="1:37" ht="16.5" customHeight="1">
      <c r="AA4" s="547"/>
      <c r="AB4" s="548"/>
      <c r="AC4" s="548"/>
      <c r="AD4" s="548"/>
    </row>
    <row r="5" spans="1:37" ht="20.25" customHeight="1">
      <c r="Z5" s="59"/>
      <c r="AA5" s="548"/>
      <c r="AB5" s="548"/>
      <c r="AC5" s="548"/>
      <c r="AD5" s="548"/>
      <c r="AE5" s="59"/>
    </row>
    <row r="6" spans="1:37" ht="22.15" customHeight="1">
      <c r="B6" s="549" t="s">
        <v>15</v>
      </c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</row>
    <row r="7" spans="1:37" ht="22.15" customHeight="1">
      <c r="B7" s="483" t="s">
        <v>44</v>
      </c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</row>
    <row r="8" spans="1:37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7" ht="20.100000000000001" customHeight="1">
      <c r="A9" s="1"/>
      <c r="B9" s="571" t="s">
        <v>14</v>
      </c>
      <c r="C9" s="571"/>
      <c r="D9" s="571"/>
      <c r="E9" s="568" t="str">
        <f>'CALCULO SELLO CALIZO'!B2</f>
        <v>SAN LUIS DEL CORDERO - SAN PEDRO DEL GALLO</v>
      </c>
      <c r="F9" s="568"/>
      <c r="G9" s="568"/>
      <c r="H9" s="568"/>
      <c r="I9" s="568"/>
      <c r="J9" s="568"/>
      <c r="K9" s="568"/>
      <c r="L9" s="568"/>
      <c r="M9" s="568"/>
      <c r="N9" s="568"/>
      <c r="O9" s="568"/>
      <c r="P9" s="568"/>
      <c r="Q9" s="568"/>
      <c r="R9" s="56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1"/>
    </row>
    <row r="10" spans="1:37" ht="20.100000000000001" customHeight="1">
      <c r="A10" s="1"/>
      <c r="B10" s="571"/>
      <c r="C10" s="571"/>
      <c r="D10" s="571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" t="s">
        <v>0</v>
      </c>
      <c r="T10" s="5"/>
      <c r="U10" s="488">
        <f>SUM('CALCULO SELLO RELOTICO'!H2)</f>
        <v>633</v>
      </c>
      <c r="V10" s="488"/>
      <c r="W10" s="488"/>
      <c r="X10" s="488"/>
      <c r="Y10" s="488"/>
      <c r="Z10" s="488"/>
      <c r="AA10" s="488"/>
      <c r="AB10" s="488"/>
      <c r="AC10" s="488"/>
      <c r="AD10" s="488"/>
      <c r="AE10" s="6"/>
      <c r="AF10" s="1"/>
    </row>
    <row r="11" spans="1:37" ht="20.100000000000001" customHeight="1">
      <c r="A11" s="1"/>
      <c r="B11" s="571"/>
      <c r="C11" s="571"/>
      <c r="D11" s="571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" t="s">
        <v>1</v>
      </c>
      <c r="T11" s="5"/>
      <c r="U11" s="5"/>
      <c r="V11" s="7"/>
      <c r="W11" s="33" t="e">
        <f>#REF!</f>
        <v>#REF!</v>
      </c>
      <c r="X11" s="491">
        <f>'INFORME PETREO SELLO CALIZO'!X11:AD11</f>
        <v>42341</v>
      </c>
      <c r="Y11" s="491"/>
      <c r="Z11" s="491"/>
      <c r="AA11" s="491"/>
      <c r="AB11" s="491"/>
      <c r="AC11" s="491"/>
      <c r="AD11" s="491"/>
      <c r="AE11" s="6"/>
      <c r="AF11" s="1"/>
      <c r="AG11" s="1"/>
      <c r="AH11" s="1"/>
      <c r="AI11" s="1"/>
      <c r="AJ11" s="1"/>
      <c r="AK11" s="1"/>
    </row>
    <row r="12" spans="1:37" ht="20.100000000000001" customHeight="1">
      <c r="A12" s="1"/>
      <c r="B12" s="571"/>
      <c r="C12" s="571"/>
      <c r="D12" s="571"/>
      <c r="E12" s="568"/>
      <c r="F12" s="568"/>
      <c r="G12" s="568"/>
      <c r="H12" s="568"/>
      <c r="I12" s="568"/>
      <c r="J12" s="568"/>
      <c r="K12" s="568"/>
      <c r="L12" s="568"/>
      <c r="M12" s="568"/>
      <c r="N12" s="568"/>
      <c r="O12" s="568"/>
      <c r="P12" s="568"/>
      <c r="Q12" s="568"/>
      <c r="R12" s="568"/>
      <c r="S12" s="5" t="s">
        <v>2</v>
      </c>
      <c r="T12" s="5"/>
      <c r="U12" s="5"/>
      <c r="V12" s="489">
        <f>'INFORME PETREO SELLO CALIZO'!V12:AD12</f>
        <v>42345</v>
      </c>
      <c r="W12" s="490"/>
      <c r="X12" s="490"/>
      <c r="Y12" s="490"/>
      <c r="Z12" s="490"/>
      <c r="AA12" s="490"/>
      <c r="AB12" s="490"/>
      <c r="AC12" s="490"/>
      <c r="AD12" s="490"/>
      <c r="AE12" s="6"/>
      <c r="AF12" s="1"/>
      <c r="AG12" s="1"/>
      <c r="AH12" s="1"/>
      <c r="AI12" s="1"/>
      <c r="AJ12" s="1"/>
      <c r="AK12" s="1"/>
    </row>
    <row r="13" spans="1:37" ht="20.100000000000001" customHeight="1">
      <c r="A13" s="1"/>
      <c r="B13" s="571"/>
      <c r="C13" s="571"/>
      <c r="D13" s="571"/>
      <c r="E13" s="568"/>
      <c r="F13" s="568"/>
      <c r="G13" s="568"/>
      <c r="H13" s="568"/>
      <c r="I13" s="568"/>
      <c r="J13" s="568"/>
      <c r="K13" s="568"/>
      <c r="L13" s="568"/>
      <c r="M13" s="568"/>
      <c r="N13" s="568"/>
      <c r="O13" s="568"/>
      <c r="P13" s="568"/>
      <c r="Q13" s="568"/>
      <c r="R13" s="56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1"/>
      <c r="AG13" s="1"/>
      <c r="AH13" s="1"/>
      <c r="AI13" s="1"/>
      <c r="AJ13" s="1"/>
      <c r="AK13" s="1"/>
    </row>
    <row r="14" spans="1:37" ht="15" customHeight="1">
      <c r="A14" s="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1"/>
      <c r="AF14" s="1"/>
      <c r="AG14" s="1"/>
      <c r="AH14" s="1"/>
      <c r="AI14" s="1"/>
      <c r="AJ14" s="1"/>
      <c r="AK14" s="1"/>
    </row>
    <row r="15" spans="1:37" ht="28.9" customHeight="1">
      <c r="A15" s="1"/>
      <c r="B15" s="572" t="s">
        <v>3</v>
      </c>
      <c r="C15" s="573"/>
      <c r="D15" s="500" t="s">
        <v>4</v>
      </c>
      <c r="E15" s="500"/>
      <c r="F15" s="500"/>
      <c r="G15" s="501" t="s">
        <v>451</v>
      </c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10"/>
      <c r="X15" s="10" t="s">
        <v>5</v>
      </c>
      <c r="Y15" s="10"/>
      <c r="Z15" s="10"/>
      <c r="AA15" s="10"/>
      <c r="AB15" s="494" t="s">
        <v>50</v>
      </c>
      <c r="AC15" s="494"/>
      <c r="AD15" s="494"/>
      <c r="AE15" s="11"/>
      <c r="AF15" s="1"/>
      <c r="AG15" s="1"/>
      <c r="AH15" s="1"/>
      <c r="AI15" s="1"/>
      <c r="AJ15" s="1"/>
      <c r="AK15" s="1"/>
    </row>
    <row r="16" spans="1:37" ht="28.9" customHeight="1">
      <c r="A16" s="1"/>
      <c r="B16" s="574"/>
      <c r="C16" s="575"/>
      <c r="D16" s="540" t="s">
        <v>6</v>
      </c>
      <c r="E16" s="540"/>
      <c r="F16" s="540"/>
      <c r="G16" s="540"/>
      <c r="H16" s="540"/>
      <c r="I16" s="540"/>
      <c r="J16" s="495" t="str">
        <f>'INFORME PETREO SELLO CALIZO'!J16:AD16</f>
        <v>TRITURACION TOTAL</v>
      </c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6"/>
      <c r="AF16" s="1"/>
      <c r="AG16" s="1"/>
      <c r="AH16" s="1"/>
      <c r="AI16" s="1"/>
      <c r="AJ16" s="1"/>
      <c r="AK16" s="1"/>
    </row>
    <row r="17" spans="1:37" ht="28.9" customHeight="1">
      <c r="A17" s="1"/>
      <c r="B17" s="574"/>
      <c r="C17" s="575"/>
      <c r="D17" s="540" t="s">
        <v>7</v>
      </c>
      <c r="E17" s="540"/>
      <c r="F17" s="540"/>
      <c r="G17" s="540"/>
      <c r="H17" s="540"/>
      <c r="I17" s="495" t="str">
        <f>'INFORME PETREO SELLO CALIZO'!I17:AD17</f>
        <v>MUESTRA ENVIADA AL LABORATORIO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6"/>
      <c r="AF17" s="1"/>
      <c r="AG17" s="1"/>
      <c r="AH17" s="1"/>
      <c r="AI17" s="1"/>
      <c r="AJ17" s="1"/>
      <c r="AK17" s="1"/>
    </row>
    <row r="18" spans="1:37" ht="28.9" customHeight="1">
      <c r="A18" s="1"/>
      <c r="B18" s="576"/>
      <c r="C18" s="577"/>
      <c r="D18" s="558" t="s">
        <v>49</v>
      </c>
      <c r="E18" s="559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9" t="str">
        <f>'INFORME PETREO SELLO CALIZO'!P18:AE18</f>
        <v>PLANTA CRIBISA EN LERDO, DGO.</v>
      </c>
      <c r="Q18" s="559"/>
      <c r="R18" s="559"/>
      <c r="S18" s="559"/>
      <c r="T18" s="559"/>
      <c r="U18" s="559"/>
      <c r="V18" s="559"/>
      <c r="W18" s="559"/>
      <c r="X18" s="559"/>
      <c r="Y18" s="559"/>
      <c r="Z18" s="559"/>
      <c r="AA18" s="559"/>
      <c r="AB18" s="559"/>
      <c r="AC18" s="559"/>
      <c r="AD18" s="559"/>
      <c r="AE18" s="560"/>
      <c r="AF18" s="1"/>
      <c r="AG18" s="1"/>
      <c r="AH18" s="1"/>
      <c r="AI18" s="1"/>
      <c r="AJ18" s="1"/>
      <c r="AK18" s="1"/>
    </row>
    <row r="19" spans="1:37" ht="15" customHeight="1">
      <c r="A19" s="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1"/>
      <c r="AG19" s="1"/>
      <c r="AH19" s="1"/>
      <c r="AI19" s="1"/>
      <c r="AJ19" s="1"/>
      <c r="AK19" s="1"/>
    </row>
    <row r="20" spans="1:37" ht="28.5" customHeight="1">
      <c r="A20" s="1"/>
      <c r="B20" s="541" t="s">
        <v>48</v>
      </c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542"/>
      <c r="V20" s="542"/>
      <c r="W20" s="542"/>
      <c r="X20" s="542"/>
      <c r="Y20" s="542"/>
      <c r="Z20" s="542"/>
      <c r="AA20" s="542"/>
      <c r="AB20" s="542"/>
      <c r="AC20" s="542"/>
      <c r="AD20" s="542"/>
      <c r="AE20" s="543"/>
      <c r="AF20" s="1"/>
      <c r="AG20" s="1"/>
      <c r="AH20" s="1"/>
      <c r="AI20" s="1"/>
      <c r="AJ20" s="1"/>
      <c r="AK20" s="1"/>
    </row>
    <row r="21" spans="1:37" ht="34.5" customHeight="1">
      <c r="A21" s="1"/>
      <c r="B21" s="568" t="s">
        <v>8</v>
      </c>
      <c r="C21" s="568"/>
      <c r="D21" s="568"/>
      <c r="E21" s="568"/>
      <c r="F21" s="555" t="s">
        <v>32</v>
      </c>
      <c r="G21" s="556"/>
      <c r="H21" s="556"/>
      <c r="I21" s="556"/>
      <c r="J21" s="556"/>
      <c r="K21" s="557"/>
      <c r="L21" s="18"/>
      <c r="M21" s="1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11"/>
      <c r="AF21" s="1"/>
      <c r="AG21" s="1"/>
      <c r="AH21" s="1"/>
      <c r="AI21" s="1"/>
      <c r="AJ21" s="1"/>
      <c r="AK21" s="1"/>
    </row>
    <row r="22" spans="1:37" ht="41.25" customHeight="1">
      <c r="A22" s="1"/>
      <c r="B22" s="568"/>
      <c r="C22" s="568"/>
      <c r="D22" s="568"/>
      <c r="E22" s="568"/>
      <c r="F22" s="564" t="s">
        <v>440</v>
      </c>
      <c r="G22" s="565"/>
      <c r="H22" s="565"/>
      <c r="I22" s="565"/>
      <c r="J22" s="565"/>
      <c r="K22" s="566"/>
      <c r="L22" s="14"/>
      <c r="M22" s="544" t="s">
        <v>36</v>
      </c>
      <c r="N22" s="15"/>
      <c r="O22" s="6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6"/>
      <c r="AF22" s="1"/>
      <c r="AG22" s="1"/>
      <c r="AH22" s="1"/>
      <c r="AI22" s="1"/>
      <c r="AJ22" s="1"/>
      <c r="AK22" s="1"/>
    </row>
    <row r="23" spans="1:37" ht="20.100000000000001" customHeight="1">
      <c r="A23" s="1"/>
      <c r="B23" s="561" t="s">
        <v>52</v>
      </c>
      <c r="C23" s="562"/>
      <c r="D23" s="562"/>
      <c r="E23" s="563"/>
      <c r="F23" s="564">
        <f>'CALCULO SELLO RELOTICO'!H11</f>
        <v>1253.5502958579882</v>
      </c>
      <c r="G23" s="565"/>
      <c r="H23" s="565"/>
      <c r="I23" s="565"/>
      <c r="J23" s="565"/>
      <c r="K23" s="566"/>
      <c r="L23" s="14"/>
      <c r="M23" s="544"/>
      <c r="N23" s="15"/>
      <c r="O23" s="6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6"/>
      <c r="AF23" s="1"/>
      <c r="AG23" s="1"/>
      <c r="AH23" s="1"/>
      <c r="AI23" s="1"/>
      <c r="AJ23" s="1"/>
      <c r="AK23" s="1"/>
    </row>
    <row r="24" spans="1:37" ht="21" customHeight="1">
      <c r="A24" s="1"/>
      <c r="B24" s="569" t="s">
        <v>16</v>
      </c>
      <c r="C24" s="569"/>
      <c r="D24" s="570" t="s">
        <v>17</v>
      </c>
      <c r="E24" s="570"/>
      <c r="F24" s="564" t="s">
        <v>33</v>
      </c>
      <c r="G24" s="565"/>
      <c r="H24" s="565"/>
      <c r="I24" s="565"/>
      <c r="J24" s="565"/>
      <c r="K24" s="566"/>
      <c r="L24" s="14"/>
      <c r="M24" s="544"/>
      <c r="N24" s="15"/>
      <c r="O24" s="336">
        <v>25</v>
      </c>
      <c r="P24" s="15">
        <v>0</v>
      </c>
      <c r="Q24" s="15">
        <v>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6"/>
      <c r="AF24" s="1"/>
      <c r="AG24" s="1"/>
      <c r="AH24" s="1"/>
      <c r="AI24" s="1"/>
      <c r="AJ24" s="1"/>
      <c r="AK24" s="1"/>
    </row>
    <row r="25" spans="1:37" ht="21" customHeight="1">
      <c r="A25" s="1"/>
      <c r="B25" s="569"/>
      <c r="C25" s="569"/>
      <c r="D25" s="570"/>
      <c r="E25" s="570"/>
      <c r="F25" s="139" t="s">
        <v>34</v>
      </c>
      <c r="G25" s="567" t="s">
        <v>35</v>
      </c>
      <c r="H25" s="567"/>
      <c r="I25" s="567"/>
      <c r="J25" s="567"/>
      <c r="K25" s="567"/>
      <c r="L25" s="14"/>
      <c r="M25" s="544"/>
      <c r="N25" s="15"/>
      <c r="O25" s="336">
        <v>50</v>
      </c>
      <c r="P25" s="15">
        <v>0</v>
      </c>
      <c r="Q25" s="15">
        <v>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6"/>
      <c r="AF25" s="1"/>
      <c r="AG25" s="1"/>
      <c r="AH25" s="1"/>
      <c r="AI25" s="1"/>
      <c r="AJ25" s="1"/>
      <c r="AK25" s="1"/>
    </row>
    <row r="26" spans="1:37" ht="21" customHeight="1">
      <c r="A26" s="1"/>
      <c r="B26" s="554">
        <v>50</v>
      </c>
      <c r="C26" s="554"/>
      <c r="D26" s="499" t="s">
        <v>18</v>
      </c>
      <c r="E26" s="499"/>
      <c r="F26" s="58">
        <f>'CALCULO SELLO RELOTICO'!F10</f>
        <v>100</v>
      </c>
      <c r="G26" s="496">
        <v>100</v>
      </c>
      <c r="H26" s="497"/>
      <c r="I26" s="497"/>
      <c r="J26" s="497"/>
      <c r="K26" s="498"/>
      <c r="L26" s="14"/>
      <c r="M26" s="544"/>
      <c r="N26" s="15"/>
      <c r="O26" s="336">
        <v>37.5</v>
      </c>
      <c r="P26" s="15">
        <v>0</v>
      </c>
      <c r="Q26" s="15">
        <v>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6"/>
      <c r="AF26" s="1"/>
      <c r="AG26" s="1"/>
      <c r="AH26" s="1"/>
      <c r="AI26" s="1"/>
      <c r="AJ26" s="1"/>
      <c r="AK26" s="1"/>
    </row>
    <row r="27" spans="1:37" ht="21" customHeight="1">
      <c r="A27" s="1"/>
      <c r="B27" s="554">
        <v>37.5</v>
      </c>
      <c r="C27" s="554"/>
      <c r="D27" s="499" t="s">
        <v>19</v>
      </c>
      <c r="E27" s="499"/>
      <c r="F27" s="58">
        <f>'CALCULO SELLO RELOTICO'!F11</f>
        <v>100</v>
      </c>
      <c r="G27" s="496">
        <v>100</v>
      </c>
      <c r="H27" s="497"/>
      <c r="I27" s="497"/>
      <c r="J27" s="497"/>
      <c r="K27" s="498"/>
      <c r="L27" s="14"/>
      <c r="M27" s="544"/>
      <c r="N27" s="15"/>
      <c r="O27" s="336">
        <v>25</v>
      </c>
      <c r="P27" s="15">
        <v>100</v>
      </c>
      <c r="Q27" s="15">
        <v>100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6"/>
      <c r="AF27" s="1"/>
      <c r="AG27" s="1"/>
      <c r="AH27" s="1"/>
      <c r="AI27" s="1"/>
      <c r="AJ27" s="1"/>
      <c r="AK27" s="1"/>
    </row>
    <row r="28" spans="1:37" ht="21" customHeight="1">
      <c r="A28" s="1"/>
      <c r="B28" s="545">
        <v>25</v>
      </c>
      <c r="C28" s="545"/>
      <c r="D28" s="505" t="s">
        <v>20</v>
      </c>
      <c r="E28" s="505"/>
      <c r="F28" s="58">
        <f>'CALCULO SELLO RELOTICO'!F12</f>
        <v>100</v>
      </c>
      <c r="G28" s="502"/>
      <c r="H28" s="503"/>
      <c r="I28" s="503"/>
      <c r="J28" s="503"/>
      <c r="K28" s="504"/>
      <c r="L28" s="14"/>
      <c r="M28" s="544"/>
      <c r="N28" s="15"/>
      <c r="O28" s="336">
        <v>19</v>
      </c>
      <c r="P28" s="15">
        <v>100</v>
      </c>
      <c r="Q28" s="15">
        <v>100</v>
      </c>
      <c r="R28" s="15"/>
      <c r="S28" s="17"/>
      <c r="T28" s="15"/>
      <c r="U28" s="15"/>
      <c r="V28" s="15"/>
      <c r="W28" s="15"/>
      <c r="X28" s="307">
        <v>0.25</v>
      </c>
      <c r="Y28" s="15"/>
      <c r="Z28" s="15"/>
      <c r="AA28" s="15"/>
      <c r="AB28" s="15"/>
      <c r="AC28" s="15"/>
      <c r="AD28" s="15"/>
      <c r="AE28" s="6"/>
      <c r="AF28" s="1"/>
      <c r="AG28" s="1"/>
      <c r="AH28" s="1"/>
      <c r="AI28" s="1"/>
      <c r="AJ28" s="1"/>
      <c r="AK28" s="1"/>
    </row>
    <row r="29" spans="1:37" ht="21.6" customHeight="1">
      <c r="A29" s="1"/>
      <c r="B29" s="545">
        <v>19</v>
      </c>
      <c r="C29" s="545"/>
      <c r="D29" s="505" t="s">
        <v>21</v>
      </c>
      <c r="E29" s="505"/>
      <c r="F29" s="58">
        <f>'CALCULO SELLO RELOTICO'!F13</f>
        <v>100</v>
      </c>
      <c r="G29" s="502"/>
      <c r="H29" s="503"/>
      <c r="I29" s="503"/>
      <c r="J29" s="503"/>
      <c r="K29" s="504"/>
      <c r="L29" s="14"/>
      <c r="M29" s="544"/>
      <c r="N29" s="15"/>
      <c r="O29" s="336">
        <v>12.5</v>
      </c>
      <c r="P29" s="15">
        <v>100</v>
      </c>
      <c r="Q29" s="15">
        <v>100</v>
      </c>
      <c r="R29" s="15"/>
      <c r="S29" s="17"/>
      <c r="T29" s="15"/>
      <c r="U29" s="15"/>
      <c r="V29" s="15"/>
      <c r="W29" s="15"/>
      <c r="X29" s="307">
        <v>0.375</v>
      </c>
      <c r="Y29" s="15"/>
      <c r="Z29" s="15"/>
      <c r="AA29" s="15"/>
      <c r="AB29" s="15"/>
      <c r="AC29" s="15"/>
      <c r="AD29" s="15"/>
      <c r="AE29" s="6"/>
      <c r="AF29" s="1"/>
      <c r="AG29" s="1"/>
      <c r="AH29" s="1"/>
      <c r="AI29" s="1"/>
      <c r="AJ29" s="1"/>
      <c r="AK29" s="1"/>
    </row>
    <row r="30" spans="1:37" ht="21.6" customHeight="1">
      <c r="A30" s="1"/>
      <c r="B30" s="545">
        <v>12.5</v>
      </c>
      <c r="C30" s="545"/>
      <c r="D30" s="505" t="s">
        <v>22</v>
      </c>
      <c r="E30" s="505"/>
      <c r="F30" s="44">
        <f>'CALCULO SELLO RELOTICO'!F14</f>
        <v>100</v>
      </c>
      <c r="G30" s="502">
        <v>100</v>
      </c>
      <c r="H30" s="503"/>
      <c r="I30" s="503"/>
      <c r="J30" s="503"/>
      <c r="K30" s="504"/>
      <c r="L30" s="14"/>
      <c r="M30" s="544"/>
      <c r="N30" s="15"/>
      <c r="O30" s="336">
        <v>9.5</v>
      </c>
      <c r="P30" s="15">
        <v>90</v>
      </c>
      <c r="Q30" s="15">
        <v>100</v>
      </c>
      <c r="R30" s="15"/>
      <c r="S30" s="17"/>
      <c r="T30" s="15"/>
      <c r="U30" s="15"/>
      <c r="V30" s="15"/>
      <c r="W30" s="15"/>
      <c r="X30" s="307">
        <v>0.5</v>
      </c>
      <c r="Y30" s="15"/>
      <c r="Z30" s="15"/>
      <c r="AA30" s="15"/>
      <c r="AB30" s="15"/>
      <c r="AC30" s="15"/>
      <c r="AD30" s="15"/>
      <c r="AE30" s="6"/>
      <c r="AF30" s="1"/>
      <c r="AG30" s="1"/>
      <c r="AH30" s="1"/>
      <c r="AI30" s="1"/>
      <c r="AJ30" s="1"/>
      <c r="AK30" s="1"/>
    </row>
    <row r="31" spans="1:37" ht="21.6" customHeight="1">
      <c r="A31" s="1"/>
      <c r="B31" s="545">
        <v>9.5</v>
      </c>
      <c r="C31" s="545"/>
      <c r="D31" s="505" t="s">
        <v>23</v>
      </c>
      <c r="E31" s="505"/>
      <c r="F31" s="44">
        <f>'CALCULO SELLO RELOTICO'!F15</f>
        <v>98.610455510974745</v>
      </c>
      <c r="G31" s="502" t="s">
        <v>9</v>
      </c>
      <c r="H31" s="503"/>
      <c r="I31" s="503"/>
      <c r="J31" s="503"/>
      <c r="K31" s="504"/>
      <c r="L31" s="14"/>
      <c r="M31" s="544"/>
      <c r="N31" s="15"/>
      <c r="O31" s="336">
        <v>6.3</v>
      </c>
      <c r="P31" s="15">
        <v>70</v>
      </c>
      <c r="Q31" s="15">
        <v>81</v>
      </c>
      <c r="R31" s="15"/>
      <c r="S31" s="17"/>
      <c r="T31" s="15"/>
      <c r="U31" s="15"/>
      <c r="V31" s="15"/>
      <c r="W31" s="15"/>
      <c r="X31" s="307">
        <v>0.75</v>
      </c>
      <c r="Y31" s="15"/>
      <c r="Z31" s="15"/>
      <c r="AA31" s="15"/>
      <c r="AB31" s="15"/>
      <c r="AC31" s="15"/>
      <c r="AD31" s="15"/>
      <c r="AE31" s="6"/>
      <c r="AF31" s="1"/>
      <c r="AG31" s="1"/>
      <c r="AH31" s="1"/>
      <c r="AI31" s="1"/>
      <c r="AJ31" s="1"/>
      <c r="AK31" s="1"/>
    </row>
    <row r="32" spans="1:37" ht="21.6" customHeight="1">
      <c r="A32" s="1"/>
      <c r="B32" s="545">
        <v>6.3</v>
      </c>
      <c r="C32" s="545"/>
      <c r="D32" s="505" t="s">
        <v>24</v>
      </c>
      <c r="E32" s="505"/>
      <c r="F32" s="44">
        <f>'CALCULO SELLO RELOTICO'!F16</f>
        <v>38.438163795138081</v>
      </c>
      <c r="G32" s="502" t="s">
        <v>431</v>
      </c>
      <c r="H32" s="503"/>
      <c r="I32" s="503"/>
      <c r="J32" s="503"/>
      <c r="K32" s="504"/>
      <c r="L32" s="14"/>
      <c r="M32" s="544"/>
      <c r="N32" s="15"/>
      <c r="O32" s="336">
        <v>4.75</v>
      </c>
      <c r="P32" s="15">
        <v>56</v>
      </c>
      <c r="Q32" s="15">
        <v>69</v>
      </c>
      <c r="R32" s="15"/>
      <c r="S32" s="17"/>
      <c r="T32" s="15"/>
      <c r="U32" s="15"/>
      <c r="V32" s="15"/>
      <c r="W32" s="15"/>
      <c r="X32" s="307">
        <v>4</v>
      </c>
      <c r="Y32" s="15"/>
      <c r="Z32" s="15"/>
      <c r="AA32" s="15"/>
      <c r="AB32" s="15"/>
      <c r="AC32" s="15"/>
      <c r="AD32" s="15"/>
      <c r="AE32" s="6"/>
      <c r="AF32" s="1"/>
      <c r="AG32" s="1"/>
      <c r="AH32" s="1"/>
      <c r="AI32" s="1"/>
      <c r="AJ32" s="1"/>
      <c r="AK32" s="1"/>
    </row>
    <row r="33" spans="1:37" ht="21.6" customHeight="1">
      <c r="A33" s="1"/>
      <c r="B33" s="545">
        <v>4.75</v>
      </c>
      <c r="C33" s="545"/>
      <c r="D33" s="505" t="s">
        <v>25</v>
      </c>
      <c r="E33" s="505"/>
      <c r="F33" s="44">
        <f>'CALCULO SELLO RELOTICO'!F17</f>
        <v>11.252065140429561</v>
      </c>
      <c r="G33" s="502" t="s">
        <v>432</v>
      </c>
      <c r="H33" s="503"/>
      <c r="I33" s="503"/>
      <c r="J33" s="503"/>
      <c r="K33" s="504"/>
      <c r="L33" s="14"/>
      <c r="M33" s="544"/>
      <c r="N33" s="15"/>
      <c r="O33" s="336">
        <v>2</v>
      </c>
      <c r="P33" s="15">
        <v>28</v>
      </c>
      <c r="Q33" s="15">
        <v>42</v>
      </c>
      <c r="R33" s="15"/>
      <c r="S33" s="17"/>
      <c r="T33" s="15"/>
      <c r="U33" s="15"/>
      <c r="V33" s="15"/>
      <c r="W33" s="15"/>
      <c r="X33" s="307">
        <v>10</v>
      </c>
      <c r="Y33" s="15"/>
      <c r="Z33" s="15"/>
      <c r="AA33" s="15"/>
      <c r="AB33" s="15"/>
      <c r="AC33" s="15"/>
      <c r="AD33" s="15"/>
      <c r="AE33" s="6"/>
      <c r="AF33" s="1"/>
      <c r="AG33" s="1"/>
      <c r="AH33" s="1"/>
      <c r="AI33" s="1"/>
      <c r="AJ33" s="1"/>
      <c r="AK33" s="1"/>
    </row>
    <row r="34" spans="1:37" ht="21.6" customHeight="1">
      <c r="A34" s="1"/>
      <c r="B34" s="545">
        <v>2</v>
      </c>
      <c r="C34" s="545"/>
      <c r="D34" s="505" t="s">
        <v>26</v>
      </c>
      <c r="E34" s="505"/>
      <c r="F34" s="44">
        <f>'CALCULO SELLO RELOTICO'!F18</f>
        <v>1.2685862638659557</v>
      </c>
      <c r="G34" s="502" t="s">
        <v>433</v>
      </c>
      <c r="H34" s="503"/>
      <c r="I34" s="503"/>
      <c r="J34" s="503"/>
      <c r="K34" s="504"/>
      <c r="L34" s="14"/>
      <c r="M34" s="544"/>
      <c r="N34" s="15"/>
      <c r="O34" s="336">
        <v>0.85</v>
      </c>
      <c r="P34" s="15">
        <v>18</v>
      </c>
      <c r="Q34" s="15">
        <v>27</v>
      </c>
      <c r="R34" s="15"/>
      <c r="S34" s="17"/>
      <c r="T34" s="15"/>
      <c r="U34" s="15"/>
      <c r="V34" s="15"/>
      <c r="W34" s="15"/>
      <c r="X34" s="307">
        <v>20</v>
      </c>
      <c r="Y34" s="15"/>
      <c r="Z34" s="15"/>
      <c r="AA34" s="15"/>
      <c r="AB34" s="15"/>
      <c r="AC34" s="15"/>
      <c r="AD34" s="15"/>
      <c r="AE34" s="6"/>
      <c r="AF34" s="1"/>
      <c r="AG34" s="1"/>
      <c r="AH34" s="1"/>
      <c r="AI34" s="1"/>
      <c r="AJ34" s="1"/>
      <c r="AK34" s="1"/>
    </row>
    <row r="35" spans="1:37" ht="21.6" customHeight="1">
      <c r="A35" s="1"/>
      <c r="B35" s="545">
        <v>0.85</v>
      </c>
      <c r="C35" s="545"/>
      <c r="D35" s="505" t="s">
        <v>27</v>
      </c>
      <c r="E35" s="505"/>
      <c r="F35" s="44">
        <f>'CALCULO SELLO RELOTICO'!F19</f>
        <v>0.94996459759264917</v>
      </c>
      <c r="G35" s="502" t="s">
        <v>434</v>
      </c>
      <c r="H35" s="503"/>
      <c r="I35" s="503"/>
      <c r="J35" s="503"/>
      <c r="K35" s="504"/>
      <c r="L35" s="14"/>
      <c r="M35" s="544"/>
      <c r="N35" s="15"/>
      <c r="O35" s="336">
        <v>0.42499999999999999</v>
      </c>
      <c r="P35" s="15">
        <v>13</v>
      </c>
      <c r="Q35" s="15">
        <v>20</v>
      </c>
      <c r="R35" s="15"/>
      <c r="S35" s="17"/>
      <c r="T35" s="15"/>
      <c r="U35" s="15"/>
      <c r="V35" s="15"/>
      <c r="W35" s="15"/>
      <c r="X35" s="307">
        <v>40</v>
      </c>
      <c r="Y35" s="15"/>
      <c r="Z35" s="15"/>
      <c r="AA35" s="15"/>
      <c r="AB35" s="15"/>
      <c r="AC35" s="15"/>
      <c r="AD35" s="15"/>
      <c r="AE35" s="6"/>
      <c r="AF35" s="1"/>
      <c r="AG35" s="1"/>
      <c r="AH35" s="1"/>
      <c r="AI35" s="1"/>
      <c r="AJ35" s="1"/>
      <c r="AK35" s="1"/>
    </row>
    <row r="36" spans="1:37" ht="21.6" customHeight="1">
      <c r="A36" s="1"/>
      <c r="B36" s="545">
        <v>0.42499999999999999</v>
      </c>
      <c r="C36" s="545"/>
      <c r="D36" s="505" t="s">
        <v>28</v>
      </c>
      <c r="E36" s="505"/>
      <c r="F36" s="44">
        <f>'CALCULO SELLO RELOTICO'!F20</f>
        <v>0.24191645031863462</v>
      </c>
      <c r="G36" s="502" t="s">
        <v>435</v>
      </c>
      <c r="H36" s="503"/>
      <c r="I36" s="503"/>
      <c r="J36" s="503"/>
      <c r="K36" s="504"/>
      <c r="L36" s="14"/>
      <c r="M36" s="544"/>
      <c r="N36" s="15"/>
      <c r="O36" s="336">
        <v>0.25</v>
      </c>
      <c r="P36" s="15">
        <v>10</v>
      </c>
      <c r="Q36" s="15">
        <v>15</v>
      </c>
      <c r="R36" s="15"/>
      <c r="S36" s="17"/>
      <c r="T36" s="15"/>
      <c r="U36" s="15"/>
      <c r="V36" s="15"/>
      <c r="W36" s="15"/>
      <c r="X36" s="307">
        <v>60</v>
      </c>
      <c r="Y36" s="15"/>
      <c r="Z36" s="15"/>
      <c r="AA36" s="15"/>
      <c r="AB36" s="15"/>
      <c r="AC36" s="15"/>
      <c r="AD36" s="15"/>
      <c r="AE36" s="6"/>
      <c r="AF36" s="1"/>
      <c r="AG36" s="1"/>
      <c r="AH36" s="1"/>
      <c r="AI36" s="1"/>
      <c r="AJ36" s="1"/>
      <c r="AK36" s="1"/>
    </row>
    <row r="37" spans="1:37" ht="21.6" customHeight="1">
      <c r="A37" s="1"/>
      <c r="B37" s="545">
        <v>0.25</v>
      </c>
      <c r="C37" s="545"/>
      <c r="D37" s="505" t="s">
        <v>29</v>
      </c>
      <c r="E37" s="505"/>
      <c r="F37" s="58">
        <f>'CALCULO SELLO RELOTICO'!F21</f>
        <v>0.24191645031863462</v>
      </c>
      <c r="G37" s="502" t="s">
        <v>436</v>
      </c>
      <c r="H37" s="503"/>
      <c r="I37" s="503"/>
      <c r="J37" s="503"/>
      <c r="K37" s="504"/>
      <c r="L37" s="14"/>
      <c r="M37" s="544"/>
      <c r="N37" s="15"/>
      <c r="O37" s="336">
        <v>0.15</v>
      </c>
      <c r="P37" s="15">
        <v>6</v>
      </c>
      <c r="Q37" s="15">
        <v>12</v>
      </c>
      <c r="R37" s="15"/>
      <c r="S37" s="17"/>
      <c r="T37" s="15"/>
      <c r="U37" s="15"/>
      <c r="V37" s="15"/>
      <c r="W37" s="15"/>
      <c r="X37" s="307">
        <v>100</v>
      </c>
      <c r="Y37" s="15"/>
      <c r="Z37" s="15"/>
      <c r="AA37" s="15"/>
      <c r="AB37" s="15"/>
      <c r="AC37" s="15"/>
      <c r="AD37" s="15"/>
      <c r="AE37" s="6"/>
      <c r="AF37" s="1"/>
      <c r="AG37" s="1"/>
      <c r="AH37" s="1"/>
      <c r="AI37" s="1"/>
      <c r="AJ37" s="1"/>
      <c r="AK37" s="1"/>
    </row>
    <row r="38" spans="1:37" ht="21.6" customHeight="1">
      <c r="A38" s="1"/>
      <c r="B38" s="545">
        <v>0.15</v>
      </c>
      <c r="C38" s="545"/>
      <c r="D38" s="505" t="s">
        <v>30</v>
      </c>
      <c r="E38" s="505"/>
      <c r="F38" s="58">
        <f>'CALCULO SELLO RELOTICO'!F22</f>
        <v>0.24191645031863462</v>
      </c>
      <c r="G38" s="502" t="s">
        <v>437</v>
      </c>
      <c r="H38" s="503"/>
      <c r="I38" s="503"/>
      <c r="J38" s="503"/>
      <c r="K38" s="504"/>
      <c r="L38" s="14"/>
      <c r="M38" s="544"/>
      <c r="N38" s="15"/>
      <c r="O38" s="336">
        <v>7.4999999999999997E-2</v>
      </c>
      <c r="P38" s="15">
        <v>2</v>
      </c>
      <c r="Q38" s="15">
        <v>7</v>
      </c>
      <c r="R38" s="15"/>
      <c r="S38" s="17"/>
      <c r="T38" s="15"/>
      <c r="U38" s="15"/>
      <c r="V38" s="15"/>
      <c r="W38" s="15"/>
      <c r="X38" s="307">
        <v>200</v>
      </c>
      <c r="Y38" s="15"/>
      <c r="Z38" s="15"/>
      <c r="AA38" s="15"/>
      <c r="AB38" s="15"/>
      <c r="AC38" s="15"/>
      <c r="AD38" s="15"/>
      <c r="AE38" s="6"/>
      <c r="AF38" s="1"/>
      <c r="AG38" s="1"/>
      <c r="AH38" s="1"/>
      <c r="AI38" s="1"/>
      <c r="AJ38" s="1"/>
      <c r="AK38" s="1"/>
    </row>
    <row r="39" spans="1:37" ht="20.45" customHeight="1">
      <c r="A39" s="1"/>
      <c r="B39" s="546">
        <v>7.4999999999999997E-2</v>
      </c>
      <c r="C39" s="546"/>
      <c r="D39" s="487" t="s">
        <v>31</v>
      </c>
      <c r="E39" s="487"/>
      <c r="F39" s="58">
        <f>'CALCULO SELLO RELOTICO'!F23</f>
        <v>0.24191645031863462</v>
      </c>
      <c r="G39" s="502" t="s">
        <v>438</v>
      </c>
      <c r="H39" s="503"/>
      <c r="I39" s="503"/>
      <c r="J39" s="503"/>
      <c r="K39" s="504"/>
      <c r="L39" s="14"/>
      <c r="M39" s="544"/>
      <c r="N39" s="61"/>
      <c r="O39" s="61"/>
      <c r="P39" s="550" t="s">
        <v>37</v>
      </c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  <c r="AB39" s="550"/>
      <c r="AC39" s="550"/>
      <c r="AD39" s="36"/>
      <c r="AE39" s="6"/>
      <c r="AF39" s="1"/>
      <c r="AG39" s="1"/>
      <c r="AH39" s="1"/>
      <c r="AI39" s="1"/>
      <c r="AJ39" s="1"/>
      <c r="AK39" s="1"/>
    </row>
    <row r="40" spans="1:37" ht="15" customHeight="1">
      <c r="A40" s="1"/>
      <c r="B40" s="43"/>
      <c r="C40" s="43"/>
      <c r="D40" s="35"/>
      <c r="E40" s="35"/>
      <c r="F40" s="45"/>
      <c r="G40" s="37"/>
      <c r="H40" s="37"/>
      <c r="I40" s="37"/>
      <c r="J40" s="37"/>
      <c r="K40" s="37"/>
      <c r="L40" s="41"/>
      <c r="M40" s="41"/>
      <c r="N40" s="41"/>
      <c r="O40" s="41"/>
      <c r="P40" s="46"/>
      <c r="Q40" s="41"/>
      <c r="R40" s="41"/>
      <c r="S40" s="41"/>
      <c r="T40" s="41"/>
      <c r="U40" s="41"/>
      <c r="V40" s="41"/>
      <c r="W40" s="41"/>
      <c r="X40" s="41"/>
      <c r="Y40" s="16"/>
      <c r="Z40" s="16"/>
      <c r="AA40" s="16"/>
      <c r="AB40" s="16"/>
      <c r="AC40" s="16"/>
      <c r="AD40" s="16"/>
      <c r="AE40" s="16"/>
      <c r="AF40" s="1"/>
      <c r="AG40" s="1"/>
      <c r="AH40" s="1"/>
      <c r="AI40" s="1"/>
      <c r="AJ40" s="1"/>
      <c r="AK40" s="1"/>
    </row>
    <row r="41" spans="1:37" ht="27.75" customHeight="1">
      <c r="A41" s="1"/>
      <c r="B41" s="2"/>
      <c r="C41" s="54"/>
      <c r="D41" s="552" t="s">
        <v>38</v>
      </c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47"/>
      <c r="Z41" s="38"/>
      <c r="AA41" s="38"/>
      <c r="AB41" s="38"/>
      <c r="AC41" s="38"/>
      <c r="AD41" s="38"/>
      <c r="AE41" s="38"/>
      <c r="AF41" s="1"/>
      <c r="AG41" s="1"/>
      <c r="AH41" s="1"/>
      <c r="AI41" s="1"/>
      <c r="AJ41" s="1"/>
      <c r="AK41" s="1"/>
    </row>
    <row r="42" spans="1:37" ht="21" customHeight="1">
      <c r="A42" s="1"/>
      <c r="B42" s="48"/>
      <c r="C42" s="48"/>
      <c r="D42" s="486" t="s">
        <v>45</v>
      </c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5" t="s">
        <v>34</v>
      </c>
      <c r="R42" s="485"/>
      <c r="S42" s="485"/>
      <c r="T42" s="485" t="s">
        <v>47</v>
      </c>
      <c r="U42" s="485"/>
      <c r="V42" s="485"/>
      <c r="W42" s="485"/>
      <c r="X42" s="485"/>
      <c r="Y42" s="48"/>
      <c r="Z42" s="48"/>
      <c r="AA42" s="48"/>
      <c r="AB42" s="48"/>
      <c r="AC42" s="48"/>
      <c r="AD42" s="48"/>
      <c r="AE42" s="48"/>
      <c r="AF42" s="1"/>
      <c r="AG42" s="1"/>
      <c r="AH42" s="1"/>
      <c r="AI42" s="1"/>
      <c r="AJ42" s="1"/>
      <c r="AK42" s="1"/>
    </row>
    <row r="43" spans="1:37" ht="20.45" customHeight="1">
      <c r="A43" s="1"/>
      <c r="B43" s="38"/>
      <c r="C43" s="38"/>
      <c r="D43" s="551" t="s">
        <v>39</v>
      </c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484">
        <f>'CALCULO SELLO RELOTICO'!G30</f>
        <v>2.4361173814898422</v>
      </c>
      <c r="R43" s="484"/>
      <c r="S43" s="484"/>
      <c r="T43" s="485">
        <v>2.4</v>
      </c>
      <c r="U43" s="485"/>
      <c r="V43" s="485"/>
      <c r="W43" s="485"/>
      <c r="X43" s="485"/>
      <c r="Y43" s="24"/>
      <c r="Z43" s="24"/>
      <c r="AA43" s="24"/>
      <c r="AB43" s="24"/>
      <c r="AC43" s="24"/>
      <c r="AD43" s="24"/>
      <c r="AE43" s="24"/>
      <c r="AF43" s="1"/>
      <c r="AG43" s="1"/>
      <c r="AH43" s="1"/>
      <c r="AI43" s="1"/>
      <c r="AJ43" s="1"/>
      <c r="AK43" s="1"/>
    </row>
    <row r="44" spans="1:37" ht="20.45" customHeight="1">
      <c r="A44" s="1"/>
      <c r="B44" s="2"/>
      <c r="C44" s="38"/>
      <c r="D44" s="539" t="s">
        <v>40</v>
      </c>
      <c r="E44" s="539"/>
      <c r="F44" s="539"/>
      <c r="G44" s="539"/>
      <c r="H44" s="539"/>
      <c r="I44" s="539"/>
      <c r="J44" s="539"/>
      <c r="K44" s="539"/>
      <c r="L44" s="539"/>
      <c r="M44" s="539"/>
      <c r="N44" s="539"/>
      <c r="O44" s="539"/>
      <c r="P44" s="539"/>
      <c r="Q44" s="538">
        <f>'CALCULO SELLO RELOTICO'!H48</f>
        <v>24.630147940823672</v>
      </c>
      <c r="R44" s="538"/>
      <c r="S44" s="538"/>
      <c r="T44" s="485">
        <v>30</v>
      </c>
      <c r="U44" s="485"/>
      <c r="V44" s="485"/>
      <c r="W44" s="485"/>
      <c r="X44" s="485"/>
      <c r="Y44" s="24"/>
      <c r="Z44" s="24"/>
      <c r="AA44" s="24"/>
      <c r="AB44" s="24"/>
      <c r="AC44" s="24"/>
      <c r="AD44" s="24"/>
      <c r="AE44" s="24"/>
      <c r="AF44" s="1"/>
      <c r="AG44" s="1"/>
      <c r="AH44" s="1"/>
      <c r="AI44" s="1"/>
      <c r="AJ44" s="1"/>
      <c r="AK44" s="1"/>
    </row>
    <row r="45" spans="1:37" ht="20.45" customHeight="1">
      <c r="A45" s="1"/>
      <c r="B45" s="38"/>
      <c r="C45" s="38"/>
      <c r="D45" s="539" t="s">
        <v>41</v>
      </c>
      <c r="E45" s="539"/>
      <c r="F45" s="539"/>
      <c r="G45" s="539"/>
      <c r="H45" s="539"/>
      <c r="I45" s="539"/>
      <c r="J45" s="539"/>
      <c r="K45" s="539"/>
      <c r="L45" s="539"/>
      <c r="M45" s="539"/>
      <c r="N45" s="539"/>
      <c r="O45" s="539"/>
      <c r="P45" s="539"/>
      <c r="Q45" s="537">
        <f>'CALCULO SELLO RELOTICO'!E50</f>
        <v>34.5</v>
      </c>
      <c r="R45" s="537"/>
      <c r="S45" s="537"/>
      <c r="T45" s="485">
        <v>35</v>
      </c>
      <c r="U45" s="485"/>
      <c r="V45" s="485"/>
      <c r="W45" s="485"/>
      <c r="X45" s="485"/>
      <c r="Y45" s="24"/>
      <c r="Z45" s="24"/>
      <c r="AA45" s="24"/>
      <c r="AB45" s="24"/>
      <c r="AC45" s="24"/>
      <c r="AD45" s="24"/>
      <c r="AE45" s="24"/>
      <c r="AF45" s="1"/>
      <c r="AG45" s="1"/>
      <c r="AH45" s="1"/>
      <c r="AI45" s="1"/>
      <c r="AJ45" s="1"/>
      <c r="AK45" s="1"/>
    </row>
    <row r="46" spans="1:37" ht="20.45" customHeight="1">
      <c r="A46" s="1"/>
      <c r="B46" s="38"/>
      <c r="C46" s="38"/>
      <c r="D46" s="539" t="s">
        <v>42</v>
      </c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38" t="e">
        <f>#REF!</f>
        <v>#REF!</v>
      </c>
      <c r="R46" s="538"/>
      <c r="S46" s="538"/>
      <c r="T46" s="485">
        <v>50</v>
      </c>
      <c r="U46" s="485"/>
      <c r="V46" s="485"/>
      <c r="W46" s="485"/>
      <c r="X46" s="485"/>
      <c r="Y46" s="24"/>
      <c r="Z46" s="24"/>
      <c r="AA46" s="24"/>
      <c r="AB46" s="24"/>
      <c r="AC46" s="24"/>
      <c r="AD46" s="24"/>
      <c r="AE46" s="24"/>
      <c r="AF46" s="1"/>
      <c r="AG46" s="1"/>
      <c r="AH46" s="1"/>
      <c r="AI46" s="1"/>
      <c r="AJ46" s="1"/>
      <c r="AK46" s="1"/>
    </row>
    <row r="47" spans="1:37" ht="20.45" customHeight="1">
      <c r="A47" s="1"/>
      <c r="B47" s="38"/>
      <c r="C47" s="38"/>
      <c r="D47" s="527" t="s">
        <v>43</v>
      </c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  <c r="P47" s="529"/>
      <c r="Q47" s="518"/>
      <c r="R47" s="518"/>
      <c r="S47" s="518"/>
      <c r="T47" s="485">
        <v>25</v>
      </c>
      <c r="U47" s="485"/>
      <c r="V47" s="485"/>
      <c r="W47" s="485"/>
      <c r="X47" s="485"/>
      <c r="Y47" s="24"/>
      <c r="Z47" s="24"/>
      <c r="AA47" s="24"/>
      <c r="AB47" s="24"/>
      <c r="AC47" s="24"/>
      <c r="AD47" s="24"/>
      <c r="AE47" s="24"/>
      <c r="AF47" s="1"/>
      <c r="AG47" s="1"/>
      <c r="AH47" s="1"/>
      <c r="AI47" s="1"/>
      <c r="AJ47" s="1"/>
      <c r="AK47" s="1"/>
    </row>
    <row r="48" spans="1:37" ht="20.45" customHeight="1">
      <c r="A48" s="1"/>
      <c r="B48" s="38"/>
      <c r="C48" s="38"/>
      <c r="D48" s="530" t="s">
        <v>55</v>
      </c>
      <c r="E48" s="530"/>
      <c r="F48" s="530"/>
      <c r="G48" s="486" t="s">
        <v>53</v>
      </c>
      <c r="H48" s="486"/>
      <c r="I48" s="486"/>
      <c r="J48" s="486"/>
      <c r="K48" s="486"/>
      <c r="L48" s="486"/>
      <c r="M48" s="486"/>
      <c r="N48" s="486"/>
      <c r="O48" s="486"/>
      <c r="P48" s="486"/>
      <c r="Q48" s="484">
        <f>'CALCULO SELLO RELOTICO'!G33</f>
        <v>1.9273535952557406</v>
      </c>
      <c r="R48" s="484"/>
      <c r="S48" s="484"/>
      <c r="T48" s="485"/>
      <c r="U48" s="485"/>
      <c r="V48" s="485"/>
      <c r="W48" s="485"/>
      <c r="X48" s="485"/>
      <c r="Y48" s="24"/>
      <c r="Z48" s="24"/>
      <c r="AA48" s="24"/>
      <c r="AB48" s="24"/>
      <c r="AC48" s="24"/>
      <c r="AD48" s="24"/>
      <c r="AE48" s="24"/>
      <c r="AF48" s="1"/>
      <c r="AG48" s="1"/>
      <c r="AH48" s="1"/>
      <c r="AI48" s="1"/>
      <c r="AJ48" s="1"/>
      <c r="AK48" s="1"/>
    </row>
    <row r="49" spans="1:37" ht="20.45" customHeight="1">
      <c r="A49" s="1"/>
      <c r="B49" s="38"/>
      <c r="C49" s="38"/>
      <c r="D49" s="530"/>
      <c r="E49" s="530"/>
      <c r="F49" s="530"/>
      <c r="G49" s="486" t="s">
        <v>54</v>
      </c>
      <c r="H49" s="486"/>
      <c r="I49" s="486"/>
      <c r="J49" s="486"/>
      <c r="K49" s="486"/>
      <c r="L49" s="486"/>
      <c r="M49" s="486"/>
      <c r="N49" s="486"/>
      <c r="O49" s="486"/>
      <c r="P49" s="486"/>
      <c r="Q49" s="526">
        <v>100</v>
      </c>
      <c r="R49" s="526"/>
      <c r="S49" s="526"/>
      <c r="T49" s="485"/>
      <c r="U49" s="485"/>
      <c r="V49" s="485"/>
      <c r="W49" s="485"/>
      <c r="X49" s="485"/>
      <c r="Y49" s="24"/>
      <c r="Z49" s="24"/>
      <c r="AA49" s="24"/>
      <c r="AB49" s="24"/>
      <c r="AC49" s="24"/>
      <c r="AD49" s="24"/>
      <c r="AE49" s="24"/>
      <c r="AF49" s="1"/>
      <c r="AG49" s="1"/>
      <c r="AH49" s="1"/>
      <c r="AI49" s="1"/>
      <c r="AJ49" s="1"/>
      <c r="AK49" s="1"/>
    </row>
    <row r="50" spans="1:37" ht="15" customHeight="1">
      <c r="A50" s="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4"/>
      <c r="X50" s="49"/>
      <c r="Y50" s="49"/>
      <c r="Z50" s="49"/>
      <c r="AA50" s="49"/>
      <c r="AB50" s="49"/>
      <c r="AC50" s="49"/>
      <c r="AD50" s="49"/>
      <c r="AE50" s="49"/>
      <c r="AF50" s="1"/>
      <c r="AG50" s="1"/>
      <c r="AH50" s="1"/>
      <c r="AI50" s="1"/>
      <c r="AJ50" s="1"/>
      <c r="AK50" s="1"/>
    </row>
    <row r="51" spans="1:37" ht="19.5" hidden="1" customHeight="1">
      <c r="A51" s="1"/>
      <c r="B51" s="24"/>
      <c r="C51" s="24"/>
      <c r="D51" s="24"/>
      <c r="E51" s="24"/>
      <c r="F51" s="42"/>
      <c r="G51" s="50"/>
      <c r="H51" s="50"/>
      <c r="I51" s="50"/>
      <c r="J51" s="50"/>
      <c r="K51" s="50"/>
      <c r="L51" s="24"/>
      <c r="M51" s="38"/>
      <c r="N51" s="38"/>
      <c r="O51" s="38"/>
      <c r="P51" s="38"/>
      <c r="Q51" s="51"/>
      <c r="R51" s="51"/>
      <c r="S51" s="12"/>
      <c r="T51" s="12"/>
      <c r="U51" s="12"/>
      <c r="V51" s="12"/>
      <c r="W51" s="24"/>
      <c r="X51" s="38"/>
      <c r="Y51" s="38"/>
      <c r="Z51" s="38"/>
      <c r="AA51" s="38"/>
      <c r="AB51" s="38"/>
      <c r="AC51" s="39"/>
      <c r="AD51" s="39"/>
      <c r="AE51" s="39"/>
      <c r="AF51" s="1"/>
      <c r="AG51" s="1"/>
      <c r="AH51" s="1"/>
      <c r="AI51" s="1"/>
      <c r="AJ51" s="1"/>
      <c r="AK51" s="1"/>
    </row>
    <row r="52" spans="1:37" ht="19.5" hidden="1" customHeight="1">
      <c r="A52" s="1"/>
      <c r="B52" s="52"/>
      <c r="C52" s="52"/>
      <c r="D52" s="24"/>
      <c r="E52" s="24"/>
      <c r="F52" s="126"/>
      <c r="G52" s="12"/>
      <c r="H52" s="12"/>
      <c r="I52" s="12"/>
      <c r="J52" s="12"/>
      <c r="K52" s="12"/>
      <c r="L52" s="24"/>
      <c r="M52" s="38"/>
      <c r="N52" s="38"/>
      <c r="O52" s="38"/>
      <c r="P52" s="38"/>
      <c r="Q52" s="51"/>
      <c r="R52" s="51"/>
      <c r="S52" s="12"/>
      <c r="T52" s="12"/>
      <c r="U52" s="12"/>
      <c r="V52" s="12"/>
      <c r="W52" s="24"/>
      <c r="X52" s="38"/>
      <c r="Y52" s="38"/>
      <c r="Z52" s="38"/>
      <c r="AA52" s="38"/>
      <c r="AB52" s="38"/>
      <c r="AC52" s="39"/>
      <c r="AD52" s="39"/>
      <c r="AE52" s="39"/>
      <c r="AF52" s="1"/>
      <c r="AG52" s="1"/>
      <c r="AH52" s="1"/>
      <c r="AI52" s="1"/>
      <c r="AJ52" s="1"/>
      <c r="AK52" s="1"/>
    </row>
    <row r="53" spans="1:37" ht="19.5" hidden="1" customHeight="1">
      <c r="A53" s="1"/>
      <c r="B53" s="52"/>
      <c r="C53" s="52"/>
      <c r="D53" s="24"/>
      <c r="E53" s="24"/>
      <c r="F53" s="126"/>
      <c r="G53" s="12"/>
      <c r="H53" s="12"/>
      <c r="I53" s="12"/>
      <c r="J53" s="12"/>
      <c r="K53" s="12"/>
      <c r="L53" s="24"/>
      <c r="M53" s="38"/>
      <c r="N53" s="38"/>
      <c r="O53" s="38"/>
      <c r="P53" s="38"/>
      <c r="Q53" s="50"/>
      <c r="R53" s="50"/>
      <c r="S53" s="53"/>
      <c r="T53" s="53"/>
      <c r="U53" s="53"/>
      <c r="V53" s="53"/>
      <c r="W53" s="24"/>
      <c r="X53" s="38"/>
      <c r="Y53" s="38"/>
      <c r="Z53" s="38"/>
      <c r="AA53" s="38"/>
      <c r="AB53" s="38"/>
      <c r="AC53" s="39"/>
      <c r="AD53" s="39"/>
      <c r="AE53" s="39"/>
      <c r="AF53" s="1"/>
      <c r="AG53" s="1"/>
      <c r="AH53" s="1"/>
      <c r="AI53" s="1"/>
      <c r="AJ53" s="1"/>
      <c r="AK53" s="1"/>
    </row>
    <row r="54" spans="1:37" ht="19.5" hidden="1" customHeight="1">
      <c r="A54" s="1"/>
      <c r="B54" s="52"/>
      <c r="C54" s="52"/>
      <c r="D54" s="24"/>
      <c r="E54" s="24"/>
      <c r="F54" s="126"/>
      <c r="G54" s="12"/>
      <c r="H54" s="12"/>
      <c r="I54" s="12"/>
      <c r="J54" s="12"/>
      <c r="K54" s="12"/>
      <c r="L54" s="24"/>
      <c r="M54" s="38"/>
      <c r="N54" s="38"/>
      <c r="O54" s="38"/>
      <c r="P54" s="38"/>
      <c r="Q54" s="50"/>
      <c r="R54" s="50"/>
      <c r="S54" s="53"/>
      <c r="T54" s="53"/>
      <c r="U54" s="53"/>
      <c r="V54" s="53"/>
      <c r="W54" s="24"/>
      <c r="X54" s="38"/>
      <c r="Y54" s="38"/>
      <c r="Z54" s="38"/>
      <c r="AA54" s="38"/>
      <c r="AB54" s="38"/>
      <c r="AC54" s="39"/>
      <c r="AD54" s="39"/>
      <c r="AE54" s="39"/>
      <c r="AF54" s="1"/>
      <c r="AG54" s="1"/>
      <c r="AH54" s="1"/>
      <c r="AI54" s="1"/>
      <c r="AJ54" s="1"/>
      <c r="AK54" s="1"/>
    </row>
    <row r="55" spans="1:37" ht="19.5" hidden="1" customHeight="1">
      <c r="A55" s="1"/>
      <c r="B55" s="24"/>
      <c r="C55" s="24"/>
      <c r="D55" s="24"/>
      <c r="E55" s="24"/>
      <c r="F55" s="126"/>
      <c r="G55" s="12"/>
      <c r="H55" s="12"/>
      <c r="I55" s="12"/>
      <c r="J55" s="12"/>
      <c r="K55" s="12"/>
      <c r="L55" s="24"/>
      <c r="M55" s="38"/>
      <c r="N55" s="38"/>
      <c r="O55" s="38"/>
      <c r="P55" s="38"/>
      <c r="Q55" s="50"/>
      <c r="R55" s="50"/>
      <c r="S55" s="12"/>
      <c r="T55" s="12"/>
      <c r="U55" s="12"/>
      <c r="V55" s="12"/>
      <c r="W55" s="24"/>
      <c r="X55" s="38"/>
      <c r="Y55" s="38"/>
      <c r="Z55" s="38"/>
      <c r="AA55" s="38"/>
      <c r="AB55" s="38"/>
      <c r="AC55" s="39"/>
      <c r="AD55" s="39"/>
      <c r="AE55" s="39"/>
      <c r="AF55" s="1"/>
      <c r="AG55" s="1"/>
      <c r="AH55" s="1"/>
      <c r="AI55" s="1"/>
      <c r="AJ55" s="1"/>
      <c r="AK55" s="1"/>
    </row>
    <row r="56" spans="1:37" ht="7.5" hidden="1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"/>
      <c r="AG56" s="1"/>
      <c r="AH56" s="1"/>
      <c r="AI56" s="1"/>
      <c r="AJ56" s="1"/>
      <c r="AK56" s="1"/>
    </row>
    <row r="57" spans="1:37" ht="23.45" customHeight="1">
      <c r="A57" s="1"/>
      <c r="B57" s="516" t="s">
        <v>10</v>
      </c>
      <c r="C57" s="517"/>
      <c r="D57" s="517"/>
      <c r="E57" s="517"/>
      <c r="F57" s="517"/>
      <c r="G57" s="517"/>
      <c r="H57" s="517"/>
      <c r="I57" s="517"/>
      <c r="J57" s="517"/>
      <c r="K57" s="517"/>
      <c r="L57" s="16"/>
      <c r="M57" s="16"/>
      <c r="N57" s="16"/>
      <c r="O57" s="16"/>
      <c r="P57" s="16"/>
      <c r="Q57" s="16"/>
      <c r="R57" s="16"/>
      <c r="S57" s="5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1"/>
      <c r="AF57" s="1"/>
      <c r="AG57" s="1"/>
      <c r="AH57" s="1"/>
      <c r="AI57" s="1"/>
      <c r="AJ57" s="1"/>
      <c r="AK57" s="1"/>
    </row>
    <row r="58" spans="1:37" ht="23.45" customHeight="1">
      <c r="A58" s="1"/>
      <c r="B58" s="519" t="s">
        <v>452</v>
      </c>
      <c r="C58" s="520"/>
      <c r="D58" s="520"/>
      <c r="E58" s="520"/>
      <c r="F58" s="520"/>
      <c r="G58" s="520"/>
      <c r="H58" s="520"/>
      <c r="I58" s="520"/>
      <c r="J58" s="520"/>
      <c r="K58" s="520"/>
      <c r="L58" s="520"/>
      <c r="M58" s="520"/>
      <c r="N58" s="520"/>
      <c r="O58" s="520"/>
      <c r="P58" s="520"/>
      <c r="Q58" s="520"/>
      <c r="R58" s="520"/>
      <c r="S58" s="520"/>
      <c r="T58" s="520"/>
      <c r="U58" s="520"/>
      <c r="V58" s="520"/>
      <c r="W58" s="520"/>
      <c r="X58" s="520"/>
      <c r="Y58" s="520"/>
      <c r="Z58" s="520"/>
      <c r="AA58" s="520"/>
      <c r="AB58" s="520"/>
      <c r="AC58" s="520"/>
      <c r="AD58" s="520"/>
      <c r="AE58" s="521"/>
      <c r="AF58" s="1"/>
      <c r="AG58" s="1"/>
      <c r="AH58" s="1"/>
      <c r="AI58" s="1"/>
      <c r="AJ58" s="1"/>
      <c r="AK58" s="1"/>
    </row>
    <row r="59" spans="1:37" ht="23.45" customHeight="1">
      <c r="A59" s="1"/>
      <c r="B59" s="519"/>
      <c r="C59" s="520"/>
      <c r="D59" s="520"/>
      <c r="E59" s="520"/>
      <c r="F59" s="520"/>
      <c r="G59" s="520"/>
      <c r="H59" s="520"/>
      <c r="I59" s="520"/>
      <c r="J59" s="520"/>
      <c r="K59" s="520"/>
      <c r="L59" s="520"/>
      <c r="M59" s="520"/>
      <c r="N59" s="520"/>
      <c r="O59" s="520"/>
      <c r="P59" s="520"/>
      <c r="Q59" s="520"/>
      <c r="R59" s="520"/>
      <c r="S59" s="520"/>
      <c r="T59" s="520"/>
      <c r="U59" s="520"/>
      <c r="V59" s="520"/>
      <c r="W59" s="520"/>
      <c r="X59" s="520"/>
      <c r="Y59" s="520"/>
      <c r="Z59" s="520"/>
      <c r="AA59" s="520"/>
      <c r="AB59" s="520"/>
      <c r="AC59" s="520"/>
      <c r="AD59" s="520"/>
      <c r="AE59" s="521"/>
      <c r="AF59" s="1"/>
      <c r="AG59" s="1"/>
      <c r="AH59" s="1"/>
      <c r="AI59" s="1"/>
      <c r="AJ59" s="1"/>
      <c r="AK59" s="1"/>
    </row>
    <row r="60" spans="1:37" ht="23.45" customHeight="1">
      <c r="A60" s="1"/>
      <c r="B60" s="522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3"/>
      <c r="V60" s="523"/>
      <c r="W60" s="523"/>
      <c r="X60" s="523"/>
      <c r="Y60" s="523"/>
      <c r="Z60" s="523"/>
      <c r="AA60" s="523"/>
      <c r="AB60" s="523"/>
      <c r="AC60" s="523"/>
      <c r="AD60" s="523"/>
      <c r="AE60" s="524"/>
      <c r="AF60" s="1"/>
      <c r="AG60" s="1"/>
      <c r="AH60" s="1"/>
      <c r="AI60" s="1"/>
      <c r="AJ60" s="1"/>
      <c r="AK60" s="1"/>
    </row>
    <row r="61" spans="1:37" ht="15" customHeight="1">
      <c r="A61" s="1"/>
      <c r="B61" s="4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41"/>
      <c r="AF61" s="1"/>
      <c r="AG61" s="1"/>
      <c r="AH61" s="1"/>
      <c r="AI61" s="1"/>
      <c r="AJ61" s="1"/>
      <c r="AK61" s="1"/>
    </row>
    <row r="62" spans="1:37" ht="17.45" customHeight="1">
      <c r="A62" s="1"/>
      <c r="B62" s="18"/>
      <c r="C62" s="525" t="s">
        <v>11</v>
      </c>
      <c r="D62" s="525"/>
      <c r="E62" s="525"/>
      <c r="F62" s="22"/>
      <c r="G62" s="21"/>
      <c r="H62" s="20"/>
      <c r="I62" s="525" t="s">
        <v>12</v>
      </c>
      <c r="J62" s="525"/>
      <c r="K62" s="525"/>
      <c r="L62" s="525"/>
      <c r="M62" s="525"/>
      <c r="N62" s="525"/>
      <c r="O62" s="525"/>
      <c r="P62" s="525"/>
      <c r="Q62" s="525"/>
      <c r="R62" s="20"/>
      <c r="S62" s="531" t="s">
        <v>450</v>
      </c>
      <c r="T62" s="532"/>
      <c r="U62" s="532"/>
      <c r="V62" s="532"/>
      <c r="W62" s="532"/>
      <c r="X62" s="532"/>
      <c r="Y62" s="532"/>
      <c r="Z62" s="532"/>
      <c r="AA62" s="532"/>
      <c r="AB62" s="532"/>
      <c r="AC62" s="532"/>
      <c r="AD62" s="532"/>
      <c r="AE62" s="533"/>
      <c r="AF62" s="1"/>
      <c r="AG62" s="1"/>
      <c r="AH62" s="1"/>
      <c r="AI62" s="1"/>
      <c r="AJ62" s="1"/>
      <c r="AK62" s="1"/>
    </row>
    <row r="63" spans="1:37" ht="51" customHeight="1">
      <c r="A63" s="1"/>
      <c r="B63" s="25"/>
      <c r="C63" s="24"/>
      <c r="D63" s="24"/>
      <c r="E63" s="24"/>
      <c r="F63" s="27"/>
      <c r="G63" s="26"/>
      <c r="H63" s="24"/>
      <c r="I63" s="24"/>
      <c r="J63" s="24"/>
      <c r="K63" s="24"/>
      <c r="L63" s="24"/>
      <c r="M63" s="24"/>
      <c r="N63" s="19"/>
      <c r="O63" s="19"/>
      <c r="P63" s="19"/>
      <c r="Q63" s="17"/>
      <c r="R63" s="17"/>
      <c r="S63" s="2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9"/>
      <c r="AE63" s="6"/>
      <c r="AF63" s="1"/>
      <c r="AG63" s="1"/>
      <c r="AH63" s="1"/>
      <c r="AI63" s="1"/>
      <c r="AJ63" s="1"/>
      <c r="AK63" s="1"/>
    </row>
    <row r="64" spans="1:37" ht="22.9" customHeight="1">
      <c r="A64" s="1"/>
      <c r="B64" s="513" t="s">
        <v>447</v>
      </c>
      <c r="C64" s="514"/>
      <c r="D64" s="514"/>
      <c r="E64" s="514"/>
      <c r="F64" s="515"/>
      <c r="G64" s="513" t="s">
        <v>448</v>
      </c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5"/>
      <c r="S64" s="534" t="s">
        <v>449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6"/>
      <c r="AF64" s="1"/>
      <c r="AG64" s="1"/>
      <c r="AH64" s="1"/>
      <c r="AI64" s="1"/>
      <c r="AJ64" s="1"/>
      <c r="AK64" s="1"/>
    </row>
    <row r="65" spans="1:37" ht="6.6" customHeight="1">
      <c r="A65" s="1"/>
      <c r="B65" s="13"/>
      <c r="C65" s="28"/>
      <c r="D65" s="28"/>
      <c r="E65" s="28"/>
      <c r="F65" s="30"/>
      <c r="G65" s="29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9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9"/>
      <c r="AF65" s="1"/>
      <c r="AG65" s="1"/>
      <c r="AH65" s="1"/>
      <c r="AI65" s="1"/>
      <c r="AJ65" s="1"/>
      <c r="AK65" s="1"/>
    </row>
    <row r="66" spans="1:37" ht="16.149999999999999" customHeight="1">
      <c r="A66" s="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512" t="s">
        <v>13</v>
      </c>
      <c r="AB66" s="512"/>
      <c r="AC66" s="512"/>
      <c r="AD66" s="512"/>
      <c r="AE66" s="512"/>
      <c r="AF66" s="1"/>
      <c r="AG66" s="1"/>
      <c r="AH66" s="1"/>
      <c r="AI66" s="1"/>
      <c r="AJ66" s="1"/>
      <c r="AK66" s="1"/>
    </row>
    <row r="67" spans="1:37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</sheetData>
  <mergeCells count="108">
    <mergeCell ref="AA66:AE66"/>
    <mergeCell ref="B57:K57"/>
    <mergeCell ref="B58:AE60"/>
    <mergeCell ref="C62:E62"/>
    <mergeCell ref="I62:Q62"/>
    <mergeCell ref="B64:F64"/>
    <mergeCell ref="S62:AE62"/>
    <mergeCell ref="G64:R64"/>
    <mergeCell ref="S64:AE64"/>
    <mergeCell ref="D48:F49"/>
    <mergeCell ref="G48:P48"/>
    <mergeCell ref="Q48:S48"/>
    <mergeCell ref="T48:X48"/>
    <mergeCell ref="G49:P49"/>
    <mergeCell ref="Q49:S49"/>
    <mergeCell ref="T49:X49"/>
    <mergeCell ref="D46:P46"/>
    <mergeCell ref="Q46:S46"/>
    <mergeCell ref="T46:X46"/>
    <mergeCell ref="D47:P47"/>
    <mergeCell ref="Q47:S47"/>
    <mergeCell ref="T47:X47"/>
    <mergeCell ref="D44:P44"/>
    <mergeCell ref="Q44:S44"/>
    <mergeCell ref="T44:X44"/>
    <mergeCell ref="D45:P45"/>
    <mergeCell ref="Q45:S45"/>
    <mergeCell ref="T45:X45"/>
    <mergeCell ref="P39:AC39"/>
    <mergeCell ref="D41:X41"/>
    <mergeCell ref="D42:P42"/>
    <mergeCell ref="Q42:S42"/>
    <mergeCell ref="T42:X42"/>
    <mergeCell ref="D43:P43"/>
    <mergeCell ref="Q43:S43"/>
    <mergeCell ref="T43:X43"/>
    <mergeCell ref="B38:C38"/>
    <mergeCell ref="D38:E38"/>
    <mergeCell ref="G38:K38"/>
    <mergeCell ref="B39:C39"/>
    <mergeCell ref="D39:E39"/>
    <mergeCell ref="G39:K39"/>
    <mergeCell ref="B36:C36"/>
    <mergeCell ref="D36:E36"/>
    <mergeCell ref="G36:K36"/>
    <mergeCell ref="B37:C37"/>
    <mergeCell ref="D37:E37"/>
    <mergeCell ref="G37:K37"/>
    <mergeCell ref="B35:C35"/>
    <mergeCell ref="D35:E35"/>
    <mergeCell ref="G35:K35"/>
    <mergeCell ref="B32:C32"/>
    <mergeCell ref="D32:E32"/>
    <mergeCell ref="G32:K32"/>
    <mergeCell ref="B33:C33"/>
    <mergeCell ref="D33:E33"/>
    <mergeCell ref="G33:K33"/>
    <mergeCell ref="B28:C28"/>
    <mergeCell ref="D28:E28"/>
    <mergeCell ref="G28:K28"/>
    <mergeCell ref="B29:C29"/>
    <mergeCell ref="D29:E29"/>
    <mergeCell ref="G29:K29"/>
    <mergeCell ref="B34:C34"/>
    <mergeCell ref="D34:E34"/>
    <mergeCell ref="G34:K34"/>
    <mergeCell ref="F24:K24"/>
    <mergeCell ref="G25:K25"/>
    <mergeCell ref="B26:C26"/>
    <mergeCell ref="D26:E26"/>
    <mergeCell ref="G26:K26"/>
    <mergeCell ref="B27:C27"/>
    <mergeCell ref="D27:E27"/>
    <mergeCell ref="G27:K27"/>
    <mergeCell ref="B20:AE20"/>
    <mergeCell ref="B21:E22"/>
    <mergeCell ref="F21:K21"/>
    <mergeCell ref="N21:AD21"/>
    <mergeCell ref="F22:K22"/>
    <mergeCell ref="M22:M39"/>
    <mergeCell ref="B23:E23"/>
    <mergeCell ref="F23:K23"/>
    <mergeCell ref="B24:C25"/>
    <mergeCell ref="D24:E25"/>
    <mergeCell ref="B30:C30"/>
    <mergeCell ref="D30:E30"/>
    <mergeCell ref="G30:K30"/>
    <mergeCell ref="B31:C31"/>
    <mergeCell ref="D31:E31"/>
    <mergeCell ref="G31:K31"/>
    <mergeCell ref="AA4:AD5"/>
    <mergeCell ref="B6:AE6"/>
    <mergeCell ref="B7:AF7"/>
    <mergeCell ref="B9:D13"/>
    <mergeCell ref="E9:R13"/>
    <mergeCell ref="U10:AD10"/>
    <mergeCell ref="X11:AD11"/>
    <mergeCell ref="V12:AD12"/>
    <mergeCell ref="B15:C18"/>
    <mergeCell ref="D15:F15"/>
    <mergeCell ref="G15:V15"/>
    <mergeCell ref="AB15:AD15"/>
    <mergeCell ref="D16:I16"/>
    <mergeCell ref="J16:AD16"/>
    <mergeCell ref="D17:H17"/>
    <mergeCell ref="I17:AD17"/>
    <mergeCell ref="D18:O18"/>
    <mergeCell ref="P18:AE18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view="pageBreakPreview" zoomScale="55" zoomScaleSheetLayoutView="55" workbookViewId="0">
      <selection activeCell="F33" sqref="F33"/>
    </sheetView>
  </sheetViews>
  <sheetFormatPr baseColWidth="10" defaultRowHeight="12.75"/>
  <cols>
    <col min="1" max="1" width="0.85546875" customWidth="1"/>
    <col min="2" max="2" width="10" customWidth="1"/>
    <col min="3" max="3" width="4.28515625" customWidth="1"/>
    <col min="4" max="4" width="7.42578125" customWidth="1"/>
    <col min="5" max="5" width="18.5703125" customWidth="1"/>
    <col min="6" max="6" width="16.42578125" customWidth="1"/>
    <col min="7" max="7" width="4.28515625" customWidth="1"/>
    <col min="8" max="8" width="4.7109375" customWidth="1"/>
    <col min="9" max="9" width="5.5703125" customWidth="1"/>
    <col min="10" max="10" width="2.28515625" customWidth="1"/>
    <col min="11" max="11" width="5.140625" customWidth="1"/>
    <col min="12" max="12" width="1.28515625" customWidth="1"/>
    <col min="13" max="13" width="4.28515625" customWidth="1"/>
    <col min="14" max="14" width="2.7109375" customWidth="1"/>
    <col min="15" max="15" width="6.5703125" customWidth="1"/>
    <col min="16" max="16" width="9.42578125" customWidth="1"/>
    <col min="17" max="17" width="10.5703125" customWidth="1"/>
    <col min="18" max="18" width="3.140625" customWidth="1"/>
    <col min="19" max="19" width="8" customWidth="1"/>
    <col min="20" max="20" width="10.42578125" customWidth="1"/>
    <col min="21" max="21" width="3" customWidth="1"/>
    <col min="22" max="22" width="6" customWidth="1"/>
    <col min="23" max="23" width="0.140625" customWidth="1"/>
    <col min="24" max="24" width="5" customWidth="1"/>
    <col min="25" max="25" width="4.5703125" customWidth="1"/>
    <col min="26" max="26" width="3.7109375" customWidth="1"/>
    <col min="27" max="27" width="9.42578125" customWidth="1"/>
    <col min="28" max="28" width="5" customWidth="1"/>
    <col min="29" max="29" width="5.140625" customWidth="1"/>
    <col min="30" max="30" width="8.140625" customWidth="1"/>
    <col min="31" max="31" width="3.5703125" customWidth="1"/>
    <col min="32" max="32" width="1" customWidth="1"/>
  </cols>
  <sheetData>
    <row r="1" spans="1:37" ht="22.15" customHeight="1"/>
    <row r="2" spans="1:37" ht="23.25" customHeight="1"/>
    <row r="3" spans="1:37" ht="22.15" customHeight="1"/>
    <row r="4" spans="1:37" ht="16.5" customHeight="1">
      <c r="AA4" s="547"/>
      <c r="AB4" s="548"/>
      <c r="AC4" s="548"/>
      <c r="AD4" s="548"/>
    </row>
    <row r="5" spans="1:37" ht="20.25" customHeight="1">
      <c r="Z5" s="59"/>
      <c r="AA5" s="548"/>
      <c r="AB5" s="548"/>
      <c r="AC5" s="548"/>
      <c r="AD5" s="548"/>
      <c r="AE5" s="59"/>
    </row>
    <row r="6" spans="1:37" ht="22.15" customHeight="1">
      <c r="B6" s="549" t="s">
        <v>15</v>
      </c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</row>
    <row r="7" spans="1:37" ht="22.15" customHeight="1">
      <c r="B7" s="483" t="s">
        <v>44</v>
      </c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</row>
    <row r="8" spans="1:37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7" ht="20.100000000000001" customHeight="1">
      <c r="A9" s="1"/>
      <c r="B9" s="571" t="s">
        <v>14</v>
      </c>
      <c r="C9" s="571"/>
      <c r="D9" s="571"/>
      <c r="E9" s="568" t="str">
        <f>'CALCULO SELLO CALIZO'!B2</f>
        <v>SAN LUIS DEL CORDERO - SAN PEDRO DEL GALLO</v>
      </c>
      <c r="F9" s="568"/>
      <c r="G9" s="568"/>
      <c r="H9" s="568"/>
      <c r="I9" s="568"/>
      <c r="J9" s="568"/>
      <c r="K9" s="568"/>
      <c r="L9" s="568"/>
      <c r="M9" s="568"/>
      <c r="N9" s="568"/>
      <c r="O9" s="568"/>
      <c r="P9" s="568"/>
      <c r="Q9" s="568"/>
      <c r="R9" s="56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1"/>
    </row>
    <row r="10" spans="1:37" ht="20.100000000000001" customHeight="1">
      <c r="A10" s="1"/>
      <c r="B10" s="571"/>
      <c r="C10" s="571"/>
      <c r="D10" s="571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" t="s">
        <v>0</v>
      </c>
      <c r="T10" s="5"/>
      <c r="U10" s="488">
        <f>'CALCULO POLVILLO ARENAS'!H2</f>
        <v>634</v>
      </c>
      <c r="V10" s="488"/>
      <c r="W10" s="488"/>
      <c r="X10" s="488"/>
      <c r="Y10" s="488"/>
      <c r="Z10" s="488"/>
      <c r="AA10" s="488"/>
      <c r="AB10" s="488"/>
      <c r="AC10" s="488"/>
      <c r="AD10" s="488"/>
      <c r="AE10" s="6"/>
      <c r="AF10" s="1"/>
    </row>
    <row r="11" spans="1:37" ht="20.100000000000001" customHeight="1">
      <c r="A11" s="1"/>
      <c r="B11" s="571"/>
      <c r="C11" s="571"/>
      <c r="D11" s="571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" t="s">
        <v>1</v>
      </c>
      <c r="T11" s="5"/>
      <c r="U11" s="5"/>
      <c r="V11" s="7"/>
      <c r="W11" s="33" t="e">
        <f>#REF!</f>
        <v>#REF!</v>
      </c>
      <c r="X11" s="491">
        <f>'CALCULO POLVILLO ARENAS'!H3</f>
        <v>42341</v>
      </c>
      <c r="Y11" s="491"/>
      <c r="Z11" s="491"/>
      <c r="AA11" s="491"/>
      <c r="AB11" s="491"/>
      <c r="AC11" s="491"/>
      <c r="AD11" s="491"/>
      <c r="AE11" s="6"/>
      <c r="AF11" s="1"/>
      <c r="AG11" s="1"/>
      <c r="AH11" s="1"/>
      <c r="AI11" s="1"/>
      <c r="AJ11" s="1"/>
      <c r="AK11" s="1"/>
    </row>
    <row r="12" spans="1:37" ht="20.100000000000001" customHeight="1">
      <c r="A12" s="1"/>
      <c r="B12" s="571"/>
      <c r="C12" s="571"/>
      <c r="D12" s="571"/>
      <c r="E12" s="568"/>
      <c r="F12" s="568"/>
      <c r="G12" s="568"/>
      <c r="H12" s="568"/>
      <c r="I12" s="568"/>
      <c r="J12" s="568"/>
      <c r="K12" s="568"/>
      <c r="L12" s="568"/>
      <c r="M12" s="568"/>
      <c r="N12" s="568"/>
      <c r="O12" s="568"/>
      <c r="P12" s="568"/>
      <c r="Q12" s="568"/>
      <c r="R12" s="568"/>
      <c r="S12" s="5" t="s">
        <v>2</v>
      </c>
      <c r="T12" s="5"/>
      <c r="U12" s="5"/>
      <c r="V12" s="489">
        <f>'CALCULO POLVILLO ARENAS'!H4</f>
        <v>42345</v>
      </c>
      <c r="W12" s="490"/>
      <c r="X12" s="490"/>
      <c r="Y12" s="490"/>
      <c r="Z12" s="490"/>
      <c r="AA12" s="490"/>
      <c r="AB12" s="490"/>
      <c r="AC12" s="490"/>
      <c r="AD12" s="490"/>
      <c r="AE12" s="6"/>
      <c r="AF12" s="1"/>
      <c r="AG12" s="1"/>
      <c r="AH12" s="1"/>
      <c r="AI12" s="1"/>
      <c r="AJ12" s="1"/>
      <c r="AK12" s="1"/>
    </row>
    <row r="13" spans="1:37" ht="20.100000000000001" customHeight="1">
      <c r="A13" s="1"/>
      <c r="B13" s="571"/>
      <c r="C13" s="571"/>
      <c r="D13" s="571"/>
      <c r="E13" s="568"/>
      <c r="F13" s="568"/>
      <c r="G13" s="568"/>
      <c r="H13" s="568"/>
      <c r="I13" s="568"/>
      <c r="J13" s="568"/>
      <c r="K13" s="568"/>
      <c r="L13" s="568"/>
      <c r="M13" s="568"/>
      <c r="N13" s="568"/>
      <c r="O13" s="568"/>
      <c r="P13" s="568"/>
      <c r="Q13" s="568"/>
      <c r="R13" s="56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1"/>
      <c r="AG13" s="1"/>
      <c r="AH13" s="1"/>
      <c r="AI13" s="1"/>
      <c r="AJ13" s="1"/>
      <c r="AK13" s="1"/>
    </row>
    <row r="14" spans="1:37" ht="15" customHeight="1">
      <c r="A14" s="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1"/>
      <c r="AF14" s="1"/>
      <c r="AG14" s="1"/>
      <c r="AH14" s="1"/>
      <c r="AI14" s="1"/>
      <c r="AJ14" s="1"/>
      <c r="AK14" s="1"/>
    </row>
    <row r="15" spans="1:37" ht="28.9" customHeight="1">
      <c r="A15" s="1"/>
      <c r="B15" s="572" t="s">
        <v>3</v>
      </c>
      <c r="C15" s="573"/>
      <c r="D15" s="500" t="s">
        <v>4</v>
      </c>
      <c r="E15" s="500"/>
      <c r="F15" s="500"/>
      <c r="G15" s="501" t="s">
        <v>469</v>
      </c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10"/>
      <c r="X15" s="10" t="s">
        <v>5</v>
      </c>
      <c r="Y15" s="10"/>
      <c r="Z15" s="10"/>
      <c r="AA15" s="10"/>
      <c r="AB15" s="494" t="s">
        <v>50</v>
      </c>
      <c r="AC15" s="494"/>
      <c r="AD15" s="494"/>
      <c r="AE15" s="11"/>
      <c r="AF15" s="1"/>
      <c r="AG15" s="1"/>
      <c r="AH15" s="1"/>
      <c r="AI15" s="1"/>
      <c r="AJ15" s="1"/>
      <c r="AK15" s="1"/>
    </row>
    <row r="16" spans="1:37" ht="28.9" customHeight="1">
      <c r="A16" s="1"/>
      <c r="B16" s="574"/>
      <c r="C16" s="575"/>
      <c r="D16" s="540" t="s">
        <v>6</v>
      </c>
      <c r="E16" s="540"/>
      <c r="F16" s="540"/>
      <c r="G16" s="540"/>
      <c r="H16" s="540"/>
      <c r="I16" s="540"/>
      <c r="J16" s="495" t="str">
        <f>'INFORME PETREO SELLO REOLITICO'!J16:AD16</f>
        <v>TRITURACION TOTAL</v>
      </c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6"/>
      <c r="AF16" s="1"/>
      <c r="AG16" s="1"/>
      <c r="AH16" s="1"/>
      <c r="AI16" s="1"/>
      <c r="AJ16" s="1"/>
      <c r="AK16" s="1"/>
    </row>
    <row r="17" spans="1:37" ht="28.9" customHeight="1">
      <c r="A17" s="1"/>
      <c r="B17" s="574"/>
      <c r="C17" s="575"/>
      <c r="D17" s="540" t="s">
        <v>7</v>
      </c>
      <c r="E17" s="540"/>
      <c r="F17" s="540"/>
      <c r="G17" s="540"/>
      <c r="H17" s="540"/>
      <c r="I17" s="495" t="str">
        <f>'INFORME PETREO SELLO REOLITICO'!I17:AD17</f>
        <v>MUESTRA ENVIADA AL LABORATORIO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6"/>
      <c r="AF17" s="1"/>
      <c r="AG17" s="1"/>
      <c r="AH17" s="1"/>
      <c r="AI17" s="1"/>
      <c r="AJ17" s="1"/>
      <c r="AK17" s="1"/>
    </row>
    <row r="18" spans="1:37" ht="28.9" customHeight="1">
      <c r="A18" s="1"/>
      <c r="B18" s="576"/>
      <c r="C18" s="577"/>
      <c r="D18" s="558" t="s">
        <v>49</v>
      </c>
      <c r="E18" s="559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9" t="str">
        <f>'INFORME PETREO SELLO REOLITICO'!P18:AE18</f>
        <v>PLANTA CRIBISA EN LERDO, DGO.</v>
      </c>
      <c r="Q18" s="559"/>
      <c r="R18" s="559"/>
      <c r="S18" s="559"/>
      <c r="T18" s="559"/>
      <c r="U18" s="559"/>
      <c r="V18" s="559"/>
      <c r="W18" s="559"/>
      <c r="X18" s="559"/>
      <c r="Y18" s="559"/>
      <c r="Z18" s="559"/>
      <c r="AA18" s="559"/>
      <c r="AB18" s="559"/>
      <c r="AC18" s="559"/>
      <c r="AD18" s="559"/>
      <c r="AE18" s="560"/>
      <c r="AF18" s="1"/>
      <c r="AG18" s="1"/>
      <c r="AH18" s="1"/>
      <c r="AI18" s="1"/>
      <c r="AJ18" s="1"/>
      <c r="AK18" s="1"/>
    </row>
    <row r="19" spans="1:37" ht="15" customHeight="1">
      <c r="A19" s="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1"/>
      <c r="AG19" s="1"/>
      <c r="AH19" s="1"/>
      <c r="AI19" s="1"/>
      <c r="AJ19" s="1"/>
      <c r="AK19" s="1"/>
    </row>
    <row r="20" spans="1:37" ht="28.5" customHeight="1">
      <c r="A20" s="1"/>
      <c r="B20" s="541" t="s">
        <v>48</v>
      </c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542"/>
      <c r="V20" s="542"/>
      <c r="W20" s="542"/>
      <c r="X20" s="542"/>
      <c r="Y20" s="542"/>
      <c r="Z20" s="542"/>
      <c r="AA20" s="542"/>
      <c r="AB20" s="542"/>
      <c r="AC20" s="542"/>
      <c r="AD20" s="542"/>
      <c r="AE20" s="543"/>
      <c r="AF20" s="1"/>
      <c r="AG20" s="1"/>
      <c r="AH20" s="1"/>
      <c r="AI20" s="1"/>
      <c r="AJ20" s="1"/>
      <c r="AK20" s="1"/>
    </row>
    <row r="21" spans="1:37" ht="34.5" customHeight="1">
      <c r="A21" s="1"/>
      <c r="B21" s="568" t="s">
        <v>8</v>
      </c>
      <c r="C21" s="568"/>
      <c r="D21" s="568"/>
      <c r="E21" s="568"/>
      <c r="F21" s="555" t="s">
        <v>32</v>
      </c>
      <c r="G21" s="556"/>
      <c r="H21" s="556"/>
      <c r="I21" s="556"/>
      <c r="J21" s="556"/>
      <c r="K21" s="557"/>
      <c r="L21" s="18"/>
      <c r="M21" s="1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11"/>
      <c r="AF21" s="1"/>
      <c r="AG21" s="1"/>
      <c r="AH21" s="1"/>
      <c r="AI21" s="1"/>
      <c r="AJ21" s="1"/>
      <c r="AK21" s="1"/>
    </row>
    <row r="22" spans="1:37" ht="41.25" customHeight="1">
      <c r="A22" s="1"/>
      <c r="B22" s="568"/>
      <c r="C22" s="568"/>
      <c r="D22" s="568"/>
      <c r="E22" s="568"/>
      <c r="F22" s="564" t="s">
        <v>174</v>
      </c>
      <c r="G22" s="565"/>
      <c r="H22" s="565"/>
      <c r="I22" s="565"/>
      <c r="J22" s="565"/>
      <c r="K22" s="566"/>
      <c r="L22" s="14"/>
      <c r="M22" s="544" t="s">
        <v>36</v>
      </c>
      <c r="N22" s="15"/>
      <c r="O22" s="6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6"/>
      <c r="AF22" s="1"/>
      <c r="AG22" s="1"/>
      <c r="AH22" s="1"/>
      <c r="AI22" s="1"/>
      <c r="AJ22" s="1"/>
      <c r="AK22" s="1"/>
    </row>
    <row r="23" spans="1:37" ht="20.100000000000001" customHeight="1">
      <c r="A23" s="1"/>
      <c r="B23" s="561" t="s">
        <v>52</v>
      </c>
      <c r="C23" s="562"/>
      <c r="D23" s="562"/>
      <c r="E23" s="563"/>
      <c r="F23" s="564">
        <f>'CALCULO POLVILLO ARENAS'!H11</f>
        <v>1662.4999999999998</v>
      </c>
      <c r="G23" s="565"/>
      <c r="H23" s="565"/>
      <c r="I23" s="565"/>
      <c r="J23" s="565"/>
      <c r="K23" s="566"/>
      <c r="L23" s="14"/>
      <c r="M23" s="544"/>
      <c r="N23" s="15"/>
      <c r="O23" s="6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6"/>
      <c r="AF23" s="1"/>
      <c r="AG23" s="1"/>
      <c r="AH23" s="1"/>
      <c r="AI23" s="1"/>
      <c r="AJ23" s="1"/>
      <c r="AK23" s="1"/>
    </row>
    <row r="24" spans="1:37" ht="21" customHeight="1">
      <c r="A24" s="1"/>
      <c r="B24" s="569" t="s">
        <v>16</v>
      </c>
      <c r="C24" s="569"/>
      <c r="D24" s="570" t="s">
        <v>17</v>
      </c>
      <c r="E24" s="570"/>
      <c r="F24" s="564" t="s">
        <v>33</v>
      </c>
      <c r="G24" s="565"/>
      <c r="H24" s="565"/>
      <c r="I24" s="565"/>
      <c r="J24" s="565"/>
      <c r="K24" s="566"/>
      <c r="L24" s="14"/>
      <c r="M24" s="544"/>
      <c r="N24" s="15"/>
      <c r="O24" s="336">
        <v>25</v>
      </c>
      <c r="P24" s="15">
        <v>0</v>
      </c>
      <c r="Q24" s="15">
        <v>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6"/>
      <c r="AF24" s="1"/>
      <c r="AG24" s="1"/>
      <c r="AH24" s="1"/>
      <c r="AI24" s="1"/>
      <c r="AJ24" s="1"/>
      <c r="AK24" s="1"/>
    </row>
    <row r="25" spans="1:37" ht="21" customHeight="1">
      <c r="A25" s="1"/>
      <c r="B25" s="569"/>
      <c r="C25" s="569"/>
      <c r="D25" s="570"/>
      <c r="E25" s="570"/>
      <c r="F25" s="62" t="s">
        <v>34</v>
      </c>
      <c r="G25" s="567" t="s">
        <v>35</v>
      </c>
      <c r="H25" s="567"/>
      <c r="I25" s="567"/>
      <c r="J25" s="567"/>
      <c r="K25" s="567"/>
      <c r="L25" s="14"/>
      <c r="M25" s="544"/>
      <c r="N25" s="15"/>
      <c r="O25" s="336">
        <v>50</v>
      </c>
      <c r="P25" s="15">
        <v>0</v>
      </c>
      <c r="Q25" s="15">
        <v>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6"/>
      <c r="AF25" s="1"/>
      <c r="AG25" s="1"/>
      <c r="AH25" s="1"/>
      <c r="AI25" s="1"/>
      <c r="AJ25" s="1"/>
      <c r="AK25" s="1"/>
    </row>
    <row r="26" spans="1:37" ht="21" customHeight="1">
      <c r="A26" s="1"/>
      <c r="B26" s="554">
        <v>50</v>
      </c>
      <c r="C26" s="554"/>
      <c r="D26" s="499" t="s">
        <v>18</v>
      </c>
      <c r="E26" s="499"/>
      <c r="F26" s="58">
        <f>'CALCULO POLVILLO ARENAS'!F10</f>
        <v>100</v>
      </c>
      <c r="G26" s="496">
        <v>100</v>
      </c>
      <c r="H26" s="497"/>
      <c r="I26" s="497"/>
      <c r="J26" s="497"/>
      <c r="K26" s="498"/>
      <c r="L26" s="14"/>
      <c r="M26" s="544"/>
      <c r="N26" s="15"/>
      <c r="O26" s="336">
        <v>37.5</v>
      </c>
      <c r="P26" s="15">
        <v>0</v>
      </c>
      <c r="Q26" s="15">
        <v>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6"/>
      <c r="AF26" s="1"/>
      <c r="AG26" s="1"/>
      <c r="AH26" s="1"/>
      <c r="AI26" s="1"/>
      <c r="AJ26" s="1"/>
      <c r="AK26" s="1"/>
    </row>
    <row r="27" spans="1:37" ht="21" customHeight="1">
      <c r="A27" s="1"/>
      <c r="B27" s="554">
        <v>37.5</v>
      </c>
      <c r="C27" s="554"/>
      <c r="D27" s="499" t="s">
        <v>19</v>
      </c>
      <c r="E27" s="499"/>
      <c r="F27" s="58">
        <f>'CALCULO POLVILLO ARENAS'!F11</f>
        <v>100</v>
      </c>
      <c r="G27" s="496">
        <v>100</v>
      </c>
      <c r="H27" s="497"/>
      <c r="I27" s="497"/>
      <c r="J27" s="497"/>
      <c r="K27" s="498"/>
      <c r="L27" s="14"/>
      <c r="M27" s="544"/>
      <c r="N27" s="15"/>
      <c r="O27" s="336">
        <v>25</v>
      </c>
      <c r="P27" s="15">
        <v>100</v>
      </c>
      <c r="Q27" s="15">
        <v>100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6"/>
      <c r="AF27" s="1"/>
      <c r="AG27" s="1"/>
      <c r="AH27" s="1"/>
      <c r="AI27" s="1"/>
      <c r="AJ27" s="1"/>
      <c r="AK27" s="1"/>
    </row>
    <row r="28" spans="1:37" ht="21" customHeight="1">
      <c r="A28" s="1"/>
      <c r="B28" s="545">
        <v>25</v>
      </c>
      <c r="C28" s="545"/>
      <c r="D28" s="505" t="s">
        <v>20</v>
      </c>
      <c r="E28" s="505"/>
      <c r="F28" s="58">
        <f>'CALCULO POLVILLO ARENAS'!F12</f>
        <v>100</v>
      </c>
      <c r="G28" s="502"/>
      <c r="H28" s="503"/>
      <c r="I28" s="503"/>
      <c r="J28" s="503"/>
      <c r="K28" s="504"/>
      <c r="L28" s="14"/>
      <c r="M28" s="544"/>
      <c r="N28" s="15"/>
      <c r="O28" s="336">
        <v>19</v>
      </c>
      <c r="P28" s="15">
        <v>100</v>
      </c>
      <c r="Q28" s="15">
        <v>100</v>
      </c>
      <c r="R28" s="15"/>
      <c r="S28" s="17"/>
      <c r="T28" s="15"/>
      <c r="U28" s="15"/>
      <c r="V28" s="15"/>
      <c r="W28" s="15"/>
      <c r="X28" s="307">
        <v>0.25</v>
      </c>
      <c r="Y28" s="15"/>
      <c r="Z28" s="15"/>
      <c r="AA28" s="15"/>
      <c r="AB28" s="15"/>
      <c r="AC28" s="15"/>
      <c r="AD28" s="15"/>
      <c r="AE28" s="6"/>
      <c r="AF28" s="1"/>
      <c r="AG28" s="1"/>
      <c r="AH28" s="1"/>
      <c r="AI28" s="1"/>
      <c r="AJ28" s="1"/>
      <c r="AK28" s="1"/>
    </row>
    <row r="29" spans="1:37" ht="21.6" customHeight="1">
      <c r="A29" s="1"/>
      <c r="B29" s="545">
        <v>19</v>
      </c>
      <c r="C29" s="545"/>
      <c r="D29" s="505" t="s">
        <v>21</v>
      </c>
      <c r="E29" s="505"/>
      <c r="F29" s="58">
        <f>'CALCULO POLVILLO ARENAS'!F13</f>
        <v>100</v>
      </c>
      <c r="G29" s="502"/>
      <c r="H29" s="503"/>
      <c r="I29" s="503"/>
      <c r="J29" s="503"/>
      <c r="K29" s="504"/>
      <c r="L29" s="14"/>
      <c r="M29" s="544"/>
      <c r="N29" s="15"/>
      <c r="O29" s="336">
        <v>12.5</v>
      </c>
      <c r="P29" s="15">
        <v>100</v>
      </c>
      <c r="Q29" s="15">
        <v>100</v>
      </c>
      <c r="R29" s="15"/>
      <c r="S29" s="17"/>
      <c r="T29" s="15"/>
      <c r="U29" s="15"/>
      <c r="V29" s="15"/>
      <c r="W29" s="15"/>
      <c r="X29" s="307">
        <v>0.375</v>
      </c>
      <c r="Y29" s="15"/>
      <c r="Z29" s="15"/>
      <c r="AA29" s="15"/>
      <c r="AB29" s="15"/>
      <c r="AC29" s="15"/>
      <c r="AD29" s="15"/>
      <c r="AE29" s="6"/>
      <c r="AF29" s="1"/>
      <c r="AG29" s="1"/>
      <c r="AH29" s="1"/>
      <c r="AI29" s="1"/>
      <c r="AJ29" s="1"/>
      <c r="AK29" s="1"/>
    </row>
    <row r="30" spans="1:37" ht="21.6" customHeight="1">
      <c r="A30" s="1"/>
      <c r="B30" s="545">
        <v>12.5</v>
      </c>
      <c r="C30" s="545"/>
      <c r="D30" s="505" t="s">
        <v>22</v>
      </c>
      <c r="E30" s="505"/>
      <c r="F30" s="58">
        <f>'CALCULO POLVILLO ARENAS'!F14</f>
        <v>100</v>
      </c>
      <c r="G30" s="502">
        <v>100</v>
      </c>
      <c r="H30" s="503"/>
      <c r="I30" s="503"/>
      <c r="J30" s="503"/>
      <c r="K30" s="504"/>
      <c r="L30" s="14"/>
      <c r="M30" s="544"/>
      <c r="N30" s="15"/>
      <c r="O30" s="336">
        <v>9.5</v>
      </c>
      <c r="P30" s="15">
        <v>90</v>
      </c>
      <c r="Q30" s="15">
        <v>100</v>
      </c>
      <c r="R30" s="15"/>
      <c r="S30" s="17"/>
      <c r="T30" s="15"/>
      <c r="U30" s="15"/>
      <c r="V30" s="15"/>
      <c r="W30" s="15"/>
      <c r="X30" s="307">
        <v>0.5</v>
      </c>
      <c r="Y30" s="15"/>
      <c r="Z30" s="15"/>
      <c r="AA30" s="15"/>
      <c r="AB30" s="15"/>
      <c r="AC30" s="15"/>
      <c r="AD30" s="15"/>
      <c r="AE30" s="6"/>
      <c r="AF30" s="1"/>
      <c r="AG30" s="1"/>
      <c r="AH30" s="1"/>
      <c r="AI30" s="1"/>
      <c r="AJ30" s="1"/>
      <c r="AK30" s="1"/>
    </row>
    <row r="31" spans="1:37" ht="21.6" customHeight="1">
      <c r="A31" s="1"/>
      <c r="B31" s="545">
        <v>9.5</v>
      </c>
      <c r="C31" s="545"/>
      <c r="D31" s="505" t="s">
        <v>23</v>
      </c>
      <c r="E31" s="505"/>
      <c r="F31" s="58">
        <f>'CALCULO POLVILLO ARENAS'!F15</f>
        <v>100</v>
      </c>
      <c r="G31" s="502" t="s">
        <v>9</v>
      </c>
      <c r="H31" s="503"/>
      <c r="I31" s="503"/>
      <c r="J31" s="503"/>
      <c r="K31" s="504"/>
      <c r="L31" s="14"/>
      <c r="M31" s="544"/>
      <c r="N31" s="15"/>
      <c r="O31" s="336">
        <v>6.3</v>
      </c>
      <c r="P31" s="15">
        <v>70</v>
      </c>
      <c r="Q31" s="15">
        <v>81</v>
      </c>
      <c r="R31" s="15"/>
      <c r="S31" s="17"/>
      <c r="T31" s="15"/>
      <c r="U31" s="15"/>
      <c r="V31" s="15"/>
      <c r="W31" s="15"/>
      <c r="X31" s="307">
        <v>0.75</v>
      </c>
      <c r="Y31" s="15"/>
      <c r="Z31" s="15"/>
      <c r="AA31" s="15"/>
      <c r="AB31" s="15"/>
      <c r="AC31" s="15"/>
      <c r="AD31" s="15"/>
      <c r="AE31" s="6"/>
      <c r="AF31" s="1"/>
      <c r="AG31" s="1"/>
      <c r="AH31" s="1"/>
      <c r="AI31" s="1"/>
      <c r="AJ31" s="1"/>
      <c r="AK31" s="1"/>
    </row>
    <row r="32" spans="1:37" ht="21.6" customHeight="1">
      <c r="A32" s="1"/>
      <c r="B32" s="545">
        <v>6.3</v>
      </c>
      <c r="C32" s="545"/>
      <c r="D32" s="505" t="s">
        <v>24</v>
      </c>
      <c r="E32" s="505"/>
      <c r="F32" s="58">
        <f>'CALCULO POLVILLO ARENAS'!F16</f>
        <v>100</v>
      </c>
      <c r="G32" s="502" t="s">
        <v>431</v>
      </c>
      <c r="H32" s="503"/>
      <c r="I32" s="503"/>
      <c r="J32" s="503"/>
      <c r="K32" s="504"/>
      <c r="L32" s="14"/>
      <c r="M32" s="544"/>
      <c r="N32" s="15"/>
      <c r="O32" s="336">
        <v>4.75</v>
      </c>
      <c r="P32" s="15">
        <v>56</v>
      </c>
      <c r="Q32" s="15">
        <v>69</v>
      </c>
      <c r="R32" s="15"/>
      <c r="S32" s="17"/>
      <c r="T32" s="15"/>
      <c r="U32" s="15"/>
      <c r="V32" s="15"/>
      <c r="W32" s="15"/>
      <c r="X32" s="307">
        <v>4</v>
      </c>
      <c r="Y32" s="15"/>
      <c r="Z32" s="15"/>
      <c r="AA32" s="15"/>
      <c r="AB32" s="15"/>
      <c r="AC32" s="15"/>
      <c r="AD32" s="15"/>
      <c r="AE32" s="6"/>
      <c r="AF32" s="1"/>
      <c r="AG32" s="1"/>
      <c r="AH32" s="1"/>
      <c r="AI32" s="1"/>
      <c r="AJ32" s="1"/>
      <c r="AK32" s="1"/>
    </row>
    <row r="33" spans="1:37" ht="21.6" customHeight="1">
      <c r="A33" s="1"/>
      <c r="B33" s="545">
        <v>4.75</v>
      </c>
      <c r="C33" s="545"/>
      <c r="D33" s="505" t="s">
        <v>25</v>
      </c>
      <c r="E33" s="505"/>
      <c r="F33" s="44">
        <f>'CALCULO POLVILLO ARENAS'!F17</f>
        <v>100</v>
      </c>
      <c r="G33" s="502" t="s">
        <v>432</v>
      </c>
      <c r="H33" s="503"/>
      <c r="I33" s="503"/>
      <c r="J33" s="503"/>
      <c r="K33" s="504"/>
      <c r="L33" s="14"/>
      <c r="M33" s="544"/>
      <c r="N33" s="15"/>
      <c r="O33" s="336">
        <v>2</v>
      </c>
      <c r="P33" s="15">
        <v>28</v>
      </c>
      <c r="Q33" s="15">
        <v>42</v>
      </c>
      <c r="R33" s="15"/>
      <c r="S33" s="17"/>
      <c r="T33" s="15"/>
      <c r="U33" s="15"/>
      <c r="V33" s="15"/>
      <c r="W33" s="15"/>
      <c r="X33" s="307">
        <v>10</v>
      </c>
      <c r="Y33" s="15"/>
      <c r="Z33" s="15"/>
      <c r="AA33" s="15"/>
      <c r="AB33" s="15"/>
      <c r="AC33" s="15"/>
      <c r="AD33" s="15"/>
      <c r="AE33" s="6"/>
      <c r="AF33" s="1"/>
      <c r="AG33" s="1"/>
      <c r="AH33" s="1"/>
      <c r="AI33" s="1"/>
      <c r="AJ33" s="1"/>
      <c r="AK33" s="1"/>
    </row>
    <row r="34" spans="1:37" ht="21.6" customHeight="1">
      <c r="A34" s="1"/>
      <c r="B34" s="545">
        <v>2</v>
      </c>
      <c r="C34" s="545"/>
      <c r="D34" s="505" t="s">
        <v>26</v>
      </c>
      <c r="E34" s="505"/>
      <c r="F34" s="44">
        <f>'CALCULO POLVILLO ARENAS'!F18</f>
        <v>72.457966373098486</v>
      </c>
      <c r="G34" s="502" t="s">
        <v>433</v>
      </c>
      <c r="H34" s="503"/>
      <c r="I34" s="503"/>
      <c r="J34" s="503"/>
      <c r="K34" s="504"/>
      <c r="L34" s="14"/>
      <c r="M34" s="544"/>
      <c r="N34" s="15"/>
      <c r="O34" s="336">
        <v>0.85</v>
      </c>
      <c r="P34" s="15">
        <v>18</v>
      </c>
      <c r="Q34" s="15">
        <v>27</v>
      </c>
      <c r="R34" s="15"/>
      <c r="S34" s="17"/>
      <c r="T34" s="15"/>
      <c r="U34" s="15"/>
      <c r="V34" s="15"/>
      <c r="W34" s="15"/>
      <c r="X34" s="307">
        <v>20</v>
      </c>
      <c r="Y34" s="15"/>
      <c r="Z34" s="15"/>
      <c r="AA34" s="15"/>
      <c r="AB34" s="15"/>
      <c r="AC34" s="15"/>
      <c r="AD34" s="15"/>
      <c r="AE34" s="6"/>
      <c r="AF34" s="1"/>
      <c r="AG34" s="1"/>
      <c r="AH34" s="1"/>
      <c r="AI34" s="1"/>
      <c r="AJ34" s="1"/>
      <c r="AK34" s="1"/>
    </row>
    <row r="35" spans="1:37" ht="21.6" customHeight="1">
      <c r="A35" s="1"/>
      <c r="B35" s="545">
        <v>0.85</v>
      </c>
      <c r="C35" s="545"/>
      <c r="D35" s="505" t="s">
        <v>27</v>
      </c>
      <c r="E35" s="505"/>
      <c r="F35" s="44">
        <f>'CALCULO POLVILLO ARENAS'!F19</f>
        <v>44.815852682145731</v>
      </c>
      <c r="G35" s="502" t="s">
        <v>434</v>
      </c>
      <c r="H35" s="503"/>
      <c r="I35" s="503"/>
      <c r="J35" s="503"/>
      <c r="K35" s="504"/>
      <c r="L35" s="14"/>
      <c r="M35" s="544"/>
      <c r="N35" s="15"/>
      <c r="O35" s="336">
        <v>0.42499999999999999</v>
      </c>
      <c r="P35" s="15">
        <v>13</v>
      </c>
      <c r="Q35" s="15">
        <v>20</v>
      </c>
      <c r="R35" s="15"/>
      <c r="S35" s="17"/>
      <c r="T35" s="15"/>
      <c r="U35" s="15"/>
      <c r="V35" s="15"/>
      <c r="W35" s="15"/>
      <c r="X35" s="307">
        <v>40</v>
      </c>
      <c r="Y35" s="15"/>
      <c r="Z35" s="15"/>
      <c r="AA35" s="15"/>
      <c r="AB35" s="15"/>
      <c r="AC35" s="15"/>
      <c r="AD35" s="15"/>
      <c r="AE35" s="6"/>
      <c r="AF35" s="1"/>
      <c r="AG35" s="1"/>
      <c r="AH35" s="1"/>
      <c r="AI35" s="1"/>
      <c r="AJ35" s="1"/>
      <c r="AK35" s="1"/>
    </row>
    <row r="36" spans="1:37" ht="21.6" customHeight="1">
      <c r="A36" s="1"/>
      <c r="B36" s="545">
        <v>0.42499999999999999</v>
      </c>
      <c r="C36" s="545"/>
      <c r="D36" s="505" t="s">
        <v>28</v>
      </c>
      <c r="E36" s="505"/>
      <c r="F36" s="44">
        <f>'CALCULO POLVILLO ARENAS'!F20</f>
        <v>29.163330664531642</v>
      </c>
      <c r="G36" s="502" t="s">
        <v>435</v>
      </c>
      <c r="H36" s="503"/>
      <c r="I36" s="503"/>
      <c r="J36" s="503"/>
      <c r="K36" s="504"/>
      <c r="L36" s="14"/>
      <c r="M36" s="544"/>
      <c r="N36" s="15"/>
      <c r="O36" s="336">
        <v>0.25</v>
      </c>
      <c r="P36" s="15">
        <v>10</v>
      </c>
      <c r="Q36" s="15">
        <v>15</v>
      </c>
      <c r="R36" s="15"/>
      <c r="S36" s="17"/>
      <c r="T36" s="15"/>
      <c r="U36" s="15"/>
      <c r="V36" s="15"/>
      <c r="W36" s="15"/>
      <c r="X36" s="307">
        <v>60</v>
      </c>
      <c r="Y36" s="15"/>
      <c r="Z36" s="15"/>
      <c r="AA36" s="15"/>
      <c r="AB36" s="15"/>
      <c r="AC36" s="15"/>
      <c r="AD36" s="15"/>
      <c r="AE36" s="6"/>
      <c r="AF36" s="1"/>
      <c r="AG36" s="1"/>
      <c r="AH36" s="1"/>
      <c r="AI36" s="1"/>
      <c r="AJ36" s="1"/>
      <c r="AK36" s="1"/>
    </row>
    <row r="37" spans="1:37" ht="21.6" customHeight="1">
      <c r="A37" s="1"/>
      <c r="B37" s="545">
        <v>0.25</v>
      </c>
      <c r="C37" s="545"/>
      <c r="D37" s="505" t="s">
        <v>29</v>
      </c>
      <c r="E37" s="505"/>
      <c r="F37" s="44">
        <f>'CALCULO POLVILLO ARENAS'!F21</f>
        <v>20.756605284227398</v>
      </c>
      <c r="G37" s="502" t="s">
        <v>436</v>
      </c>
      <c r="H37" s="503"/>
      <c r="I37" s="503"/>
      <c r="J37" s="503"/>
      <c r="K37" s="504"/>
      <c r="L37" s="14"/>
      <c r="M37" s="544"/>
      <c r="N37" s="15"/>
      <c r="O37" s="336">
        <v>0.15</v>
      </c>
      <c r="P37" s="15">
        <v>6</v>
      </c>
      <c r="Q37" s="15">
        <v>12</v>
      </c>
      <c r="R37" s="15"/>
      <c r="S37" s="17"/>
      <c r="T37" s="15"/>
      <c r="U37" s="15"/>
      <c r="V37" s="15"/>
      <c r="W37" s="15"/>
      <c r="X37" s="307">
        <v>100</v>
      </c>
      <c r="Y37" s="15"/>
      <c r="Z37" s="15"/>
      <c r="AA37" s="15"/>
      <c r="AB37" s="15"/>
      <c r="AC37" s="15"/>
      <c r="AD37" s="15"/>
      <c r="AE37" s="6"/>
      <c r="AF37" s="1"/>
      <c r="AG37" s="1"/>
      <c r="AH37" s="1"/>
      <c r="AI37" s="1"/>
      <c r="AJ37" s="1"/>
      <c r="AK37" s="1"/>
    </row>
    <row r="38" spans="1:37" ht="21.6" customHeight="1">
      <c r="A38" s="1"/>
      <c r="B38" s="545">
        <v>0.15</v>
      </c>
      <c r="C38" s="545"/>
      <c r="D38" s="505" t="s">
        <v>30</v>
      </c>
      <c r="E38" s="505"/>
      <c r="F38" s="44">
        <f>'CALCULO POLVILLO ARENAS'!F22</f>
        <v>17.05364291433148</v>
      </c>
      <c r="G38" s="502" t="s">
        <v>437</v>
      </c>
      <c r="H38" s="503"/>
      <c r="I38" s="503"/>
      <c r="J38" s="503"/>
      <c r="K38" s="504"/>
      <c r="L38" s="14"/>
      <c r="M38" s="544"/>
      <c r="N38" s="15"/>
      <c r="O38" s="336">
        <v>7.4999999999999997E-2</v>
      </c>
      <c r="P38" s="15">
        <v>2</v>
      </c>
      <c r="Q38" s="15">
        <v>7</v>
      </c>
      <c r="R38" s="15"/>
      <c r="S38" s="17"/>
      <c r="T38" s="15"/>
      <c r="U38" s="15"/>
      <c r="V38" s="15"/>
      <c r="W38" s="15"/>
      <c r="X38" s="307">
        <v>200</v>
      </c>
      <c r="Y38" s="15"/>
      <c r="Z38" s="15"/>
      <c r="AA38" s="15"/>
      <c r="AB38" s="15"/>
      <c r="AC38" s="15"/>
      <c r="AD38" s="15"/>
      <c r="AE38" s="6"/>
      <c r="AF38" s="1"/>
      <c r="AG38" s="1"/>
      <c r="AH38" s="1"/>
      <c r="AI38" s="1"/>
      <c r="AJ38" s="1"/>
      <c r="AK38" s="1"/>
    </row>
    <row r="39" spans="1:37" ht="20.45" customHeight="1">
      <c r="A39" s="1"/>
      <c r="B39" s="546">
        <v>7.4999999999999997E-2</v>
      </c>
      <c r="C39" s="546"/>
      <c r="D39" s="487" t="s">
        <v>31</v>
      </c>
      <c r="E39" s="487"/>
      <c r="F39" s="44">
        <f>'CALCULO POLVILLO ARENAS'!F23</f>
        <v>12.16973578863092</v>
      </c>
      <c r="G39" s="502" t="s">
        <v>438</v>
      </c>
      <c r="H39" s="503"/>
      <c r="I39" s="503"/>
      <c r="J39" s="503"/>
      <c r="K39" s="504"/>
      <c r="L39" s="14"/>
      <c r="M39" s="544"/>
      <c r="N39" s="61"/>
      <c r="O39" s="61"/>
      <c r="P39" s="550" t="s">
        <v>37</v>
      </c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  <c r="AB39" s="550"/>
      <c r="AC39" s="550"/>
      <c r="AD39" s="36"/>
      <c r="AE39" s="6"/>
      <c r="AF39" s="1"/>
      <c r="AG39" s="1"/>
      <c r="AH39" s="1"/>
      <c r="AI39" s="1"/>
      <c r="AJ39" s="1"/>
      <c r="AK39" s="1"/>
    </row>
    <row r="40" spans="1:37" ht="15" customHeight="1">
      <c r="A40" s="1"/>
      <c r="B40" s="43"/>
      <c r="C40" s="43"/>
      <c r="D40" s="35"/>
      <c r="E40" s="35"/>
      <c r="F40" s="45"/>
      <c r="G40" s="37"/>
      <c r="H40" s="37"/>
      <c r="I40" s="37"/>
      <c r="J40" s="37"/>
      <c r="K40" s="37"/>
      <c r="L40" s="41"/>
      <c r="M40" s="41"/>
      <c r="N40" s="41"/>
      <c r="O40" s="41"/>
      <c r="P40" s="46"/>
      <c r="Q40" s="41"/>
      <c r="R40" s="41"/>
      <c r="S40" s="41"/>
      <c r="T40" s="41"/>
      <c r="U40" s="41"/>
      <c r="V40" s="41"/>
      <c r="W40" s="41"/>
      <c r="X40" s="41"/>
      <c r="Y40" s="16"/>
      <c r="Z40" s="16"/>
      <c r="AA40" s="16"/>
      <c r="AB40" s="16"/>
      <c r="AC40" s="16"/>
      <c r="AD40" s="16"/>
      <c r="AE40" s="16"/>
      <c r="AF40" s="1"/>
      <c r="AG40" s="1"/>
      <c r="AH40" s="1"/>
      <c r="AI40" s="1"/>
      <c r="AJ40" s="1"/>
      <c r="AK40" s="1"/>
    </row>
    <row r="41" spans="1:37" ht="27.75" customHeight="1">
      <c r="A41" s="1"/>
      <c r="B41" s="2"/>
      <c r="C41" s="54"/>
      <c r="D41" s="552" t="s">
        <v>38</v>
      </c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47"/>
      <c r="Z41" s="38"/>
      <c r="AA41" s="38"/>
      <c r="AB41" s="38"/>
      <c r="AC41" s="38"/>
      <c r="AD41" s="38"/>
      <c r="AE41" s="38"/>
      <c r="AF41" s="1"/>
      <c r="AG41" s="1"/>
      <c r="AH41" s="1"/>
      <c r="AI41" s="1"/>
      <c r="AJ41" s="1"/>
      <c r="AK41" s="1"/>
    </row>
    <row r="42" spans="1:37" ht="21" customHeight="1">
      <c r="A42" s="1"/>
      <c r="B42" s="48"/>
      <c r="C42" s="48"/>
      <c r="D42" s="486" t="s">
        <v>45</v>
      </c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5" t="s">
        <v>34</v>
      </c>
      <c r="R42" s="485"/>
      <c r="S42" s="485"/>
      <c r="T42" s="485" t="s">
        <v>47</v>
      </c>
      <c r="U42" s="485"/>
      <c r="V42" s="485"/>
      <c r="W42" s="485"/>
      <c r="X42" s="485"/>
      <c r="Y42" s="48"/>
      <c r="Z42" s="48"/>
      <c r="AA42" s="48"/>
      <c r="AB42" s="48"/>
      <c r="AC42" s="48"/>
      <c r="AD42" s="48"/>
      <c r="AE42" s="48"/>
      <c r="AF42" s="1"/>
      <c r="AG42" s="1"/>
      <c r="AH42" s="1"/>
      <c r="AI42" s="1"/>
      <c r="AJ42" s="1"/>
      <c r="AK42" s="1"/>
    </row>
    <row r="43" spans="1:37" ht="20.45" customHeight="1">
      <c r="A43" s="1"/>
      <c r="B43" s="38"/>
      <c r="C43" s="38"/>
      <c r="D43" s="551" t="s">
        <v>39</v>
      </c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484">
        <f>'CALCULO POLVILLO ARENAS'!G39</f>
        <v>2.4</v>
      </c>
      <c r="R43" s="484"/>
      <c r="S43" s="484"/>
      <c r="T43" s="485">
        <v>2.4</v>
      </c>
      <c r="U43" s="485"/>
      <c r="V43" s="485"/>
      <c r="W43" s="485"/>
      <c r="X43" s="485"/>
      <c r="Y43" s="24"/>
      <c r="Z43" s="24"/>
      <c r="AA43" s="24"/>
      <c r="AB43" s="24"/>
      <c r="AC43" s="24"/>
      <c r="AD43" s="24"/>
      <c r="AE43" s="24"/>
      <c r="AF43" s="1"/>
      <c r="AG43" s="1"/>
      <c r="AH43" s="1"/>
      <c r="AI43" s="1"/>
      <c r="AJ43" s="1"/>
      <c r="AK43" s="1"/>
    </row>
    <row r="44" spans="1:37" ht="20.45" customHeight="1">
      <c r="A44" s="1"/>
      <c r="B44" s="2"/>
      <c r="C44" s="38"/>
      <c r="D44" s="539" t="s">
        <v>40</v>
      </c>
      <c r="E44" s="539"/>
      <c r="F44" s="539"/>
      <c r="G44" s="539"/>
      <c r="H44" s="539"/>
      <c r="I44" s="539"/>
      <c r="J44" s="539"/>
      <c r="K44" s="539"/>
      <c r="L44" s="539"/>
      <c r="M44" s="539"/>
      <c r="N44" s="539"/>
      <c r="O44" s="539"/>
      <c r="P44" s="539"/>
      <c r="Q44" s="538" t="e">
        <f>'CALCULO POLVILLO ARENAS'!H48</f>
        <v>#DIV/0!</v>
      </c>
      <c r="R44" s="538"/>
      <c r="S44" s="538"/>
      <c r="T44" s="485">
        <v>30</v>
      </c>
      <c r="U44" s="485"/>
      <c r="V44" s="485"/>
      <c r="W44" s="485"/>
      <c r="X44" s="485"/>
      <c r="Y44" s="24"/>
      <c r="Z44" s="24"/>
      <c r="AA44" s="24"/>
      <c r="AB44" s="24"/>
      <c r="AC44" s="24"/>
      <c r="AD44" s="24"/>
      <c r="AE44" s="24"/>
      <c r="AF44" s="1"/>
      <c r="AG44" s="1"/>
      <c r="AH44" s="1"/>
      <c r="AI44" s="1"/>
      <c r="AJ44" s="1"/>
      <c r="AK44" s="1"/>
    </row>
    <row r="45" spans="1:37" ht="20.45" customHeight="1">
      <c r="A45" s="1"/>
      <c r="B45" s="38"/>
      <c r="C45" s="38"/>
      <c r="D45" s="539" t="s">
        <v>41</v>
      </c>
      <c r="E45" s="539"/>
      <c r="F45" s="539"/>
      <c r="G45" s="539"/>
      <c r="H45" s="539"/>
      <c r="I45" s="539"/>
      <c r="J45" s="539"/>
      <c r="K45" s="539"/>
      <c r="L45" s="539"/>
      <c r="M45" s="539"/>
      <c r="N45" s="539"/>
      <c r="O45" s="539"/>
      <c r="P45" s="539"/>
      <c r="Q45" s="537" t="e">
        <f>'CALCULO POLVILLO ARENAS'!E50</f>
        <v>#DIV/0!</v>
      </c>
      <c r="R45" s="518"/>
      <c r="S45" s="518"/>
      <c r="T45" s="485">
        <v>35</v>
      </c>
      <c r="U45" s="485"/>
      <c r="V45" s="485"/>
      <c r="W45" s="485"/>
      <c r="X45" s="485"/>
      <c r="Y45" s="24"/>
      <c r="Z45" s="24"/>
      <c r="AA45" s="24"/>
      <c r="AB45" s="24"/>
      <c r="AC45" s="24"/>
      <c r="AD45" s="24"/>
      <c r="AE45" s="24"/>
      <c r="AF45" s="1"/>
      <c r="AG45" s="1"/>
      <c r="AH45" s="1"/>
      <c r="AI45" s="1"/>
      <c r="AJ45" s="1"/>
      <c r="AK45" s="1"/>
    </row>
    <row r="46" spans="1:37" ht="20.45" customHeight="1">
      <c r="A46" s="1"/>
      <c r="B46" s="38"/>
      <c r="C46" s="38"/>
      <c r="D46" s="539" t="s">
        <v>42</v>
      </c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38">
        <f>'CALCULO POLVILLO ARENAS'!H57</f>
        <v>52.759856630824373</v>
      </c>
      <c r="R46" s="538"/>
      <c r="S46" s="538"/>
      <c r="T46" s="485">
        <v>50</v>
      </c>
      <c r="U46" s="485"/>
      <c r="V46" s="485"/>
      <c r="W46" s="485"/>
      <c r="X46" s="485"/>
      <c r="Y46" s="24"/>
      <c r="Z46" s="24"/>
      <c r="AA46" s="24"/>
      <c r="AB46" s="24"/>
      <c r="AC46" s="24"/>
      <c r="AD46" s="24"/>
      <c r="AE46" s="24"/>
      <c r="AF46" s="1"/>
      <c r="AG46" s="1"/>
      <c r="AH46" s="1"/>
      <c r="AI46" s="1"/>
      <c r="AJ46" s="1"/>
      <c r="AK46" s="1"/>
    </row>
    <row r="47" spans="1:37" ht="20.45" customHeight="1">
      <c r="A47" s="1"/>
      <c r="B47" s="38"/>
      <c r="C47" s="38"/>
      <c r="D47" s="527" t="s">
        <v>43</v>
      </c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  <c r="P47" s="529"/>
      <c r="Q47" s="485"/>
      <c r="R47" s="485"/>
      <c r="S47" s="485"/>
      <c r="T47" s="485">
        <v>25</v>
      </c>
      <c r="U47" s="485"/>
      <c r="V47" s="485"/>
      <c r="W47" s="485"/>
      <c r="X47" s="485"/>
      <c r="Y47" s="24"/>
      <c r="Z47" s="24"/>
      <c r="AA47" s="24"/>
      <c r="AB47" s="24"/>
      <c r="AC47" s="24"/>
      <c r="AD47" s="24"/>
      <c r="AE47" s="24"/>
      <c r="AF47" s="1"/>
      <c r="AG47" s="1"/>
      <c r="AH47" s="1"/>
      <c r="AI47" s="1"/>
      <c r="AJ47" s="1"/>
      <c r="AK47" s="1"/>
    </row>
    <row r="48" spans="1:37" ht="20.45" customHeight="1">
      <c r="A48" s="1"/>
      <c r="B48" s="38"/>
      <c r="C48" s="38"/>
      <c r="D48" s="530" t="s">
        <v>55</v>
      </c>
      <c r="E48" s="530"/>
      <c r="F48" s="530"/>
      <c r="G48" s="486" t="s">
        <v>53</v>
      </c>
      <c r="H48" s="486"/>
      <c r="I48" s="486"/>
      <c r="J48" s="486"/>
      <c r="K48" s="486"/>
      <c r="L48" s="486"/>
      <c r="M48" s="486"/>
      <c r="N48" s="486"/>
      <c r="O48" s="486"/>
      <c r="P48" s="486"/>
      <c r="Q48" s="484">
        <f>'CALCULO POLVILLO ARENAS'!G42</f>
        <v>1.6260162601626018</v>
      </c>
      <c r="R48" s="484"/>
      <c r="S48" s="484"/>
      <c r="T48" s="485"/>
      <c r="U48" s="485"/>
      <c r="V48" s="485"/>
      <c r="W48" s="485"/>
      <c r="X48" s="485"/>
      <c r="Y48" s="24"/>
      <c r="Z48" s="24"/>
      <c r="AA48" s="24"/>
      <c r="AB48" s="24"/>
      <c r="AC48" s="24"/>
      <c r="AD48" s="24"/>
      <c r="AE48" s="24"/>
      <c r="AF48" s="1"/>
      <c r="AG48" s="1"/>
      <c r="AH48" s="1"/>
      <c r="AI48" s="1"/>
      <c r="AJ48" s="1"/>
      <c r="AK48" s="1"/>
    </row>
    <row r="49" spans="1:37" ht="20.45" customHeight="1">
      <c r="A49" s="1"/>
      <c r="B49" s="38"/>
      <c r="C49" s="38"/>
      <c r="D49" s="530"/>
      <c r="E49" s="530"/>
      <c r="F49" s="530"/>
      <c r="G49" s="486" t="s">
        <v>54</v>
      </c>
      <c r="H49" s="486"/>
      <c r="I49" s="486"/>
      <c r="J49" s="486"/>
      <c r="K49" s="486"/>
      <c r="L49" s="486"/>
      <c r="M49" s="486"/>
      <c r="N49" s="486"/>
      <c r="O49" s="486"/>
      <c r="P49" s="486"/>
      <c r="Q49" s="526">
        <v>100</v>
      </c>
      <c r="R49" s="526"/>
      <c r="S49" s="526"/>
      <c r="T49" s="485"/>
      <c r="U49" s="485"/>
      <c r="V49" s="485"/>
      <c r="W49" s="485"/>
      <c r="X49" s="485"/>
      <c r="Y49" s="24"/>
      <c r="Z49" s="24"/>
      <c r="AA49" s="24"/>
      <c r="AB49" s="24"/>
      <c r="AC49" s="24"/>
      <c r="AD49" s="24"/>
      <c r="AE49" s="24"/>
      <c r="AF49" s="1"/>
      <c r="AG49" s="1"/>
      <c r="AH49" s="1"/>
      <c r="AI49" s="1"/>
      <c r="AJ49" s="1"/>
      <c r="AK49" s="1"/>
    </row>
    <row r="50" spans="1:37" ht="15" customHeight="1">
      <c r="A50" s="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4"/>
      <c r="X50" s="49"/>
      <c r="Y50" s="49"/>
      <c r="Z50" s="49"/>
      <c r="AA50" s="49"/>
      <c r="AB50" s="49"/>
      <c r="AC50" s="49"/>
      <c r="AD50" s="49"/>
      <c r="AE50" s="49"/>
      <c r="AF50" s="1"/>
      <c r="AG50" s="1"/>
      <c r="AH50" s="1"/>
      <c r="AI50" s="1"/>
      <c r="AJ50" s="1"/>
      <c r="AK50" s="1"/>
    </row>
    <row r="51" spans="1:37" ht="19.5" hidden="1" customHeight="1">
      <c r="A51" s="1"/>
      <c r="B51" s="24"/>
      <c r="C51" s="24"/>
      <c r="D51" s="24"/>
      <c r="E51" s="24"/>
      <c r="F51" s="42"/>
      <c r="G51" s="50"/>
      <c r="H51" s="50"/>
      <c r="I51" s="50"/>
      <c r="J51" s="50"/>
      <c r="K51" s="50"/>
      <c r="L51" s="24"/>
      <c r="M51" s="38"/>
      <c r="N51" s="38"/>
      <c r="O51" s="38"/>
      <c r="P51" s="38"/>
      <c r="Q51" s="51"/>
      <c r="R51" s="51"/>
      <c r="S51" s="12"/>
      <c r="T51" s="12"/>
      <c r="U51" s="12"/>
      <c r="V51" s="12"/>
      <c r="W51" s="24"/>
      <c r="X51" s="38"/>
      <c r="Y51" s="38"/>
      <c r="Z51" s="38"/>
      <c r="AA51" s="38"/>
      <c r="AB51" s="38"/>
      <c r="AC51" s="39"/>
      <c r="AD51" s="39"/>
      <c r="AE51" s="39"/>
      <c r="AF51" s="1"/>
      <c r="AG51" s="1"/>
      <c r="AH51" s="1"/>
      <c r="AI51" s="1"/>
      <c r="AJ51" s="1"/>
      <c r="AK51" s="1"/>
    </row>
    <row r="52" spans="1:37" ht="19.5" hidden="1" customHeight="1">
      <c r="A52" s="1"/>
      <c r="B52" s="52"/>
      <c r="C52" s="52"/>
      <c r="D52" s="24"/>
      <c r="E52" s="24"/>
      <c r="F52" s="34"/>
      <c r="G52" s="12"/>
      <c r="H52" s="12"/>
      <c r="I52" s="12"/>
      <c r="J52" s="12"/>
      <c r="K52" s="12"/>
      <c r="L52" s="24"/>
      <c r="M52" s="38"/>
      <c r="N52" s="38"/>
      <c r="O52" s="38"/>
      <c r="P52" s="38"/>
      <c r="Q52" s="51"/>
      <c r="R52" s="51"/>
      <c r="S52" s="12"/>
      <c r="T52" s="12"/>
      <c r="U52" s="12"/>
      <c r="V52" s="12"/>
      <c r="W52" s="24"/>
      <c r="X52" s="38"/>
      <c r="Y52" s="38"/>
      <c r="Z52" s="38"/>
      <c r="AA52" s="38"/>
      <c r="AB52" s="38"/>
      <c r="AC52" s="39"/>
      <c r="AD52" s="39"/>
      <c r="AE52" s="39"/>
      <c r="AF52" s="1"/>
      <c r="AG52" s="1"/>
      <c r="AH52" s="1"/>
      <c r="AI52" s="1"/>
      <c r="AJ52" s="1"/>
      <c r="AK52" s="1"/>
    </row>
    <row r="53" spans="1:37" ht="19.5" hidden="1" customHeight="1">
      <c r="A53" s="1"/>
      <c r="B53" s="52"/>
      <c r="C53" s="52"/>
      <c r="D53" s="24"/>
      <c r="E53" s="24"/>
      <c r="F53" s="34"/>
      <c r="G53" s="12"/>
      <c r="H53" s="12"/>
      <c r="I53" s="12"/>
      <c r="J53" s="12"/>
      <c r="K53" s="12"/>
      <c r="L53" s="24"/>
      <c r="M53" s="38"/>
      <c r="N53" s="38"/>
      <c r="O53" s="38"/>
      <c r="P53" s="38"/>
      <c r="Q53" s="50"/>
      <c r="R53" s="50"/>
      <c r="S53" s="53"/>
      <c r="T53" s="53"/>
      <c r="U53" s="53"/>
      <c r="V53" s="53"/>
      <c r="W53" s="24"/>
      <c r="X53" s="38"/>
      <c r="Y53" s="38"/>
      <c r="Z53" s="38"/>
      <c r="AA53" s="38"/>
      <c r="AB53" s="38"/>
      <c r="AC53" s="39"/>
      <c r="AD53" s="39"/>
      <c r="AE53" s="39"/>
      <c r="AF53" s="1"/>
      <c r="AG53" s="1"/>
      <c r="AH53" s="1"/>
      <c r="AI53" s="1"/>
      <c r="AJ53" s="1"/>
      <c r="AK53" s="1"/>
    </row>
    <row r="54" spans="1:37" ht="19.5" hidden="1" customHeight="1">
      <c r="A54" s="1"/>
      <c r="B54" s="52"/>
      <c r="C54" s="52"/>
      <c r="D54" s="24"/>
      <c r="E54" s="24"/>
      <c r="F54" s="34"/>
      <c r="G54" s="12"/>
      <c r="H54" s="12"/>
      <c r="I54" s="12"/>
      <c r="J54" s="12"/>
      <c r="K54" s="12"/>
      <c r="L54" s="24"/>
      <c r="M54" s="38"/>
      <c r="N54" s="38"/>
      <c r="O54" s="38"/>
      <c r="P54" s="38"/>
      <c r="Q54" s="50"/>
      <c r="R54" s="50"/>
      <c r="S54" s="53"/>
      <c r="T54" s="53"/>
      <c r="U54" s="53"/>
      <c r="V54" s="53"/>
      <c r="W54" s="24"/>
      <c r="X54" s="38"/>
      <c r="Y54" s="38"/>
      <c r="Z54" s="38"/>
      <c r="AA54" s="38"/>
      <c r="AB54" s="38"/>
      <c r="AC54" s="39"/>
      <c r="AD54" s="39"/>
      <c r="AE54" s="39"/>
      <c r="AF54" s="1"/>
      <c r="AG54" s="1"/>
      <c r="AH54" s="1"/>
      <c r="AI54" s="1"/>
      <c r="AJ54" s="1"/>
      <c r="AK54" s="1"/>
    </row>
    <row r="55" spans="1:37" ht="19.5" hidden="1" customHeight="1">
      <c r="A55" s="1"/>
      <c r="B55" s="24"/>
      <c r="C55" s="24"/>
      <c r="D55" s="24"/>
      <c r="E55" s="24"/>
      <c r="F55" s="34"/>
      <c r="G55" s="12"/>
      <c r="H55" s="12"/>
      <c r="I55" s="12"/>
      <c r="J55" s="12"/>
      <c r="K55" s="12"/>
      <c r="L55" s="24"/>
      <c r="M55" s="38"/>
      <c r="N55" s="38"/>
      <c r="O55" s="38"/>
      <c r="P55" s="38"/>
      <c r="Q55" s="50"/>
      <c r="R55" s="50"/>
      <c r="S55" s="12"/>
      <c r="T55" s="12"/>
      <c r="U55" s="12"/>
      <c r="V55" s="12"/>
      <c r="W55" s="24"/>
      <c r="X55" s="38"/>
      <c r="Y55" s="38"/>
      <c r="Z55" s="38"/>
      <c r="AA55" s="38"/>
      <c r="AB55" s="38"/>
      <c r="AC55" s="39"/>
      <c r="AD55" s="39"/>
      <c r="AE55" s="39"/>
      <c r="AF55" s="1"/>
      <c r="AG55" s="1"/>
      <c r="AH55" s="1"/>
      <c r="AI55" s="1"/>
      <c r="AJ55" s="1"/>
      <c r="AK55" s="1"/>
    </row>
    <row r="56" spans="1:37" ht="7.5" hidden="1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"/>
      <c r="AG56" s="1"/>
      <c r="AH56" s="1"/>
      <c r="AI56" s="1"/>
      <c r="AJ56" s="1"/>
      <c r="AK56" s="1"/>
    </row>
    <row r="57" spans="1:37" ht="23.45" customHeight="1">
      <c r="A57" s="1"/>
      <c r="B57" s="516" t="s">
        <v>10</v>
      </c>
      <c r="C57" s="517"/>
      <c r="D57" s="517"/>
      <c r="E57" s="517"/>
      <c r="F57" s="517"/>
      <c r="G57" s="517"/>
      <c r="H57" s="517"/>
      <c r="I57" s="517"/>
      <c r="J57" s="517"/>
      <c r="K57" s="517"/>
      <c r="L57" s="16"/>
      <c r="M57" s="16"/>
      <c r="N57" s="16"/>
      <c r="O57" s="16"/>
      <c r="P57" s="16"/>
      <c r="Q57" s="16"/>
      <c r="R57" s="16"/>
      <c r="S57" s="5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1"/>
      <c r="AF57" s="1"/>
      <c r="AG57" s="1"/>
      <c r="AH57" s="1"/>
      <c r="AI57" s="1"/>
      <c r="AJ57" s="1"/>
      <c r="AK57" s="1"/>
    </row>
    <row r="58" spans="1:37" ht="23.45" customHeight="1">
      <c r="A58" s="1"/>
      <c r="B58" s="519" t="s">
        <v>175</v>
      </c>
      <c r="C58" s="520"/>
      <c r="D58" s="520"/>
      <c r="E58" s="520"/>
      <c r="F58" s="520"/>
      <c r="G58" s="520"/>
      <c r="H58" s="520"/>
      <c r="I58" s="520"/>
      <c r="J58" s="520"/>
      <c r="K58" s="520"/>
      <c r="L58" s="520"/>
      <c r="M58" s="520"/>
      <c r="N58" s="520"/>
      <c r="O58" s="520"/>
      <c r="P58" s="520"/>
      <c r="Q58" s="520"/>
      <c r="R58" s="520"/>
      <c r="S58" s="520"/>
      <c r="T58" s="520"/>
      <c r="U58" s="520"/>
      <c r="V58" s="520"/>
      <c r="W58" s="520"/>
      <c r="X58" s="520"/>
      <c r="Y58" s="520"/>
      <c r="Z58" s="520"/>
      <c r="AA58" s="520"/>
      <c r="AB58" s="520"/>
      <c r="AC58" s="520"/>
      <c r="AD58" s="520"/>
      <c r="AE58" s="521"/>
      <c r="AF58" s="1"/>
      <c r="AG58" s="1"/>
      <c r="AH58" s="1"/>
      <c r="AI58" s="1"/>
      <c r="AJ58" s="1"/>
      <c r="AK58" s="1"/>
    </row>
    <row r="59" spans="1:37" ht="23.45" customHeight="1">
      <c r="A59" s="1"/>
      <c r="B59" s="519"/>
      <c r="C59" s="520"/>
      <c r="D59" s="520"/>
      <c r="E59" s="520"/>
      <c r="F59" s="520"/>
      <c r="G59" s="520"/>
      <c r="H59" s="520"/>
      <c r="I59" s="520"/>
      <c r="J59" s="520"/>
      <c r="K59" s="520"/>
      <c r="L59" s="520"/>
      <c r="M59" s="520"/>
      <c r="N59" s="520"/>
      <c r="O59" s="520"/>
      <c r="P59" s="520"/>
      <c r="Q59" s="520"/>
      <c r="R59" s="520"/>
      <c r="S59" s="520"/>
      <c r="T59" s="520"/>
      <c r="U59" s="520"/>
      <c r="V59" s="520"/>
      <c r="W59" s="520"/>
      <c r="X59" s="520"/>
      <c r="Y59" s="520"/>
      <c r="Z59" s="520"/>
      <c r="AA59" s="520"/>
      <c r="AB59" s="520"/>
      <c r="AC59" s="520"/>
      <c r="AD59" s="520"/>
      <c r="AE59" s="521"/>
      <c r="AF59" s="1"/>
      <c r="AG59" s="1"/>
      <c r="AH59" s="1"/>
      <c r="AI59" s="1"/>
      <c r="AJ59" s="1"/>
      <c r="AK59" s="1"/>
    </row>
    <row r="60" spans="1:37" ht="23.45" customHeight="1">
      <c r="A60" s="1"/>
      <c r="B60" s="522"/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3"/>
      <c r="V60" s="523"/>
      <c r="W60" s="523"/>
      <c r="X60" s="523"/>
      <c r="Y60" s="523"/>
      <c r="Z60" s="523"/>
      <c r="AA60" s="523"/>
      <c r="AB60" s="523"/>
      <c r="AC60" s="523"/>
      <c r="AD60" s="523"/>
      <c r="AE60" s="524"/>
      <c r="AF60" s="1"/>
      <c r="AG60" s="1"/>
      <c r="AH60" s="1"/>
      <c r="AI60" s="1"/>
      <c r="AJ60" s="1"/>
      <c r="AK60" s="1"/>
    </row>
    <row r="61" spans="1:37" ht="15" customHeight="1">
      <c r="A61" s="1"/>
      <c r="B61" s="4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41"/>
      <c r="AF61" s="1"/>
      <c r="AG61" s="1"/>
      <c r="AH61" s="1"/>
      <c r="AI61" s="1"/>
      <c r="AJ61" s="1"/>
      <c r="AK61" s="1"/>
    </row>
    <row r="62" spans="1:37" ht="17.45" customHeight="1">
      <c r="A62" s="1"/>
      <c r="B62" s="18"/>
      <c r="C62" s="525" t="s">
        <v>11</v>
      </c>
      <c r="D62" s="525"/>
      <c r="E62" s="525"/>
      <c r="F62" s="22"/>
      <c r="G62" s="21"/>
      <c r="H62" s="20"/>
      <c r="I62" s="525" t="s">
        <v>12</v>
      </c>
      <c r="J62" s="525"/>
      <c r="K62" s="525"/>
      <c r="L62" s="525"/>
      <c r="M62" s="525"/>
      <c r="N62" s="525"/>
      <c r="O62" s="525"/>
      <c r="P62" s="525"/>
      <c r="Q62" s="525"/>
      <c r="R62" s="20"/>
      <c r="S62" s="531" t="s">
        <v>450</v>
      </c>
      <c r="T62" s="532"/>
      <c r="U62" s="532"/>
      <c r="V62" s="532"/>
      <c r="W62" s="532"/>
      <c r="X62" s="532"/>
      <c r="Y62" s="532"/>
      <c r="Z62" s="532"/>
      <c r="AA62" s="532"/>
      <c r="AB62" s="532"/>
      <c r="AC62" s="532"/>
      <c r="AD62" s="532"/>
      <c r="AE62" s="533"/>
      <c r="AF62" s="1"/>
      <c r="AG62" s="1"/>
      <c r="AH62" s="1"/>
      <c r="AI62" s="1"/>
      <c r="AJ62" s="1"/>
      <c r="AK62" s="1"/>
    </row>
    <row r="63" spans="1:37" ht="51" customHeight="1">
      <c r="A63" s="1"/>
      <c r="B63" s="25"/>
      <c r="C63" s="24"/>
      <c r="D63" s="24"/>
      <c r="E63" s="24"/>
      <c r="F63" s="27"/>
      <c r="G63" s="26"/>
      <c r="H63" s="24"/>
      <c r="I63" s="24"/>
      <c r="J63" s="24"/>
      <c r="K63" s="24"/>
      <c r="L63" s="24"/>
      <c r="M63" s="24"/>
      <c r="N63" s="19"/>
      <c r="O63" s="19"/>
      <c r="P63" s="19"/>
      <c r="Q63" s="17"/>
      <c r="R63" s="17"/>
      <c r="S63" s="2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9"/>
      <c r="AE63" s="6"/>
      <c r="AF63" s="1"/>
      <c r="AG63" s="1"/>
      <c r="AH63" s="1"/>
      <c r="AI63" s="1"/>
      <c r="AJ63" s="1"/>
      <c r="AK63" s="1"/>
    </row>
    <row r="64" spans="1:37" ht="22.9" customHeight="1">
      <c r="A64" s="1"/>
      <c r="B64" s="513" t="s">
        <v>447</v>
      </c>
      <c r="C64" s="514"/>
      <c r="D64" s="514"/>
      <c r="E64" s="514"/>
      <c r="F64" s="515"/>
      <c r="G64" s="513" t="s">
        <v>448</v>
      </c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5"/>
      <c r="S64" s="534" t="s">
        <v>449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6"/>
      <c r="AF64" s="1"/>
      <c r="AG64" s="1"/>
      <c r="AH64" s="1"/>
      <c r="AI64" s="1"/>
      <c r="AJ64" s="1"/>
      <c r="AK64" s="1"/>
    </row>
    <row r="65" spans="1:37" ht="6.6" customHeight="1">
      <c r="A65" s="1"/>
      <c r="B65" s="13"/>
      <c r="C65" s="28"/>
      <c r="D65" s="28"/>
      <c r="E65" s="28"/>
      <c r="F65" s="30"/>
      <c r="G65" s="29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9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9"/>
      <c r="AF65" s="1"/>
      <c r="AG65" s="1"/>
      <c r="AH65" s="1"/>
      <c r="AI65" s="1"/>
      <c r="AJ65" s="1"/>
      <c r="AK65" s="1"/>
    </row>
    <row r="66" spans="1:37" ht="16.149999999999999" customHeight="1">
      <c r="A66" s="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512" t="s">
        <v>13</v>
      </c>
      <c r="AB66" s="512"/>
      <c r="AC66" s="512"/>
      <c r="AD66" s="512"/>
      <c r="AE66" s="512"/>
      <c r="AF66" s="1"/>
      <c r="AG66" s="1"/>
      <c r="AH66" s="1"/>
      <c r="AI66" s="1"/>
      <c r="AJ66" s="1"/>
      <c r="AK66" s="1"/>
    </row>
    <row r="67" spans="1:37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</sheetData>
  <mergeCells count="108">
    <mergeCell ref="AA66:AE66"/>
    <mergeCell ref="B57:K57"/>
    <mergeCell ref="B58:AE60"/>
    <mergeCell ref="C62:E62"/>
    <mergeCell ref="I62:Q62"/>
    <mergeCell ref="B64:F64"/>
    <mergeCell ref="S62:AE62"/>
    <mergeCell ref="G64:R64"/>
    <mergeCell ref="S64:AE64"/>
    <mergeCell ref="D48:F49"/>
    <mergeCell ref="G48:P48"/>
    <mergeCell ref="Q48:S48"/>
    <mergeCell ref="T48:X48"/>
    <mergeCell ref="G49:P49"/>
    <mergeCell ref="Q49:S49"/>
    <mergeCell ref="T49:X49"/>
    <mergeCell ref="D46:P46"/>
    <mergeCell ref="Q46:S46"/>
    <mergeCell ref="T46:X46"/>
    <mergeCell ref="D47:P47"/>
    <mergeCell ref="Q47:S47"/>
    <mergeCell ref="T47:X47"/>
    <mergeCell ref="D44:P44"/>
    <mergeCell ref="Q44:S44"/>
    <mergeCell ref="T44:X44"/>
    <mergeCell ref="D45:P45"/>
    <mergeCell ref="Q45:S45"/>
    <mergeCell ref="T45:X45"/>
    <mergeCell ref="P39:AC39"/>
    <mergeCell ref="D41:X41"/>
    <mergeCell ref="D42:P42"/>
    <mergeCell ref="Q42:S42"/>
    <mergeCell ref="T42:X42"/>
    <mergeCell ref="D43:P43"/>
    <mergeCell ref="Q43:S43"/>
    <mergeCell ref="T43:X43"/>
    <mergeCell ref="B38:C38"/>
    <mergeCell ref="D38:E38"/>
    <mergeCell ref="G38:K38"/>
    <mergeCell ref="B39:C39"/>
    <mergeCell ref="D39:E39"/>
    <mergeCell ref="G39:K39"/>
    <mergeCell ref="B36:C36"/>
    <mergeCell ref="D36:E36"/>
    <mergeCell ref="G36:K36"/>
    <mergeCell ref="B37:C37"/>
    <mergeCell ref="D37:E37"/>
    <mergeCell ref="G37:K37"/>
    <mergeCell ref="B35:C35"/>
    <mergeCell ref="D35:E35"/>
    <mergeCell ref="G35:K35"/>
    <mergeCell ref="B32:C32"/>
    <mergeCell ref="D32:E32"/>
    <mergeCell ref="G32:K32"/>
    <mergeCell ref="B33:C33"/>
    <mergeCell ref="D33:E33"/>
    <mergeCell ref="G33:K33"/>
    <mergeCell ref="B28:C28"/>
    <mergeCell ref="D28:E28"/>
    <mergeCell ref="G28:K28"/>
    <mergeCell ref="B29:C29"/>
    <mergeCell ref="D29:E29"/>
    <mergeCell ref="G29:K29"/>
    <mergeCell ref="B34:C34"/>
    <mergeCell ref="D34:E34"/>
    <mergeCell ref="G34:K34"/>
    <mergeCell ref="F24:K24"/>
    <mergeCell ref="G25:K25"/>
    <mergeCell ref="B26:C26"/>
    <mergeCell ref="D26:E26"/>
    <mergeCell ref="G26:K26"/>
    <mergeCell ref="B27:C27"/>
    <mergeCell ref="D27:E27"/>
    <mergeCell ref="G27:K27"/>
    <mergeCell ref="B20:AE20"/>
    <mergeCell ref="B21:E22"/>
    <mergeCell ref="F21:K21"/>
    <mergeCell ref="N21:AD21"/>
    <mergeCell ref="F22:K22"/>
    <mergeCell ref="M22:M39"/>
    <mergeCell ref="B23:E23"/>
    <mergeCell ref="F23:K23"/>
    <mergeCell ref="B24:C25"/>
    <mergeCell ref="D24:E25"/>
    <mergeCell ref="B30:C30"/>
    <mergeCell ref="D30:E30"/>
    <mergeCell ref="G30:K30"/>
    <mergeCell ref="B31:C31"/>
    <mergeCell ref="D31:E31"/>
    <mergeCell ref="G31:K31"/>
    <mergeCell ref="AA4:AD5"/>
    <mergeCell ref="B6:AE6"/>
    <mergeCell ref="B7:AF7"/>
    <mergeCell ref="B9:D13"/>
    <mergeCell ref="E9:R13"/>
    <mergeCell ref="U10:AD10"/>
    <mergeCell ref="X11:AD11"/>
    <mergeCell ref="V12:AD12"/>
    <mergeCell ref="B15:C18"/>
    <mergeCell ref="D15:F15"/>
    <mergeCell ref="G15:V15"/>
    <mergeCell ref="AB15:AD15"/>
    <mergeCell ref="D16:I16"/>
    <mergeCell ref="J16:AD16"/>
    <mergeCell ref="D17:H17"/>
    <mergeCell ref="I17:AD17"/>
    <mergeCell ref="D18:O18"/>
    <mergeCell ref="P18:AE18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view="pageBreakPreview" topLeftCell="A7" zoomScale="55" zoomScaleSheetLayoutView="55" workbookViewId="0">
      <selection activeCell="E9" sqref="E9:R13"/>
    </sheetView>
  </sheetViews>
  <sheetFormatPr baseColWidth="10" defaultRowHeight="12.75"/>
  <cols>
    <col min="1" max="1" width="0.85546875" customWidth="1"/>
    <col min="2" max="2" width="10" customWidth="1"/>
    <col min="3" max="3" width="4.28515625" customWidth="1"/>
    <col min="4" max="4" width="7.42578125" customWidth="1"/>
    <col min="5" max="5" width="18.5703125" customWidth="1"/>
    <col min="6" max="6" width="16.42578125" customWidth="1"/>
    <col min="7" max="7" width="4.28515625" customWidth="1"/>
    <col min="8" max="8" width="4.7109375" customWidth="1"/>
    <col min="9" max="9" width="5.5703125" customWidth="1"/>
    <col min="10" max="10" width="2.28515625" customWidth="1"/>
    <col min="11" max="11" width="5.140625" customWidth="1"/>
    <col min="12" max="12" width="1.28515625" customWidth="1"/>
    <col min="13" max="13" width="4.28515625" customWidth="1"/>
    <col min="14" max="14" width="2.7109375" customWidth="1"/>
    <col min="15" max="15" width="6.5703125" customWidth="1"/>
    <col min="16" max="16" width="9.42578125" customWidth="1"/>
    <col min="17" max="17" width="10.5703125" customWidth="1"/>
    <col min="18" max="18" width="3.140625" customWidth="1"/>
    <col min="19" max="19" width="8" customWidth="1"/>
    <col min="20" max="20" width="10.42578125" customWidth="1"/>
    <col min="21" max="21" width="3" customWidth="1"/>
    <col min="22" max="22" width="6" customWidth="1"/>
    <col min="23" max="23" width="0.140625" customWidth="1"/>
    <col min="24" max="24" width="5" customWidth="1"/>
    <col min="25" max="25" width="4.5703125" customWidth="1"/>
    <col min="26" max="26" width="3.7109375" customWidth="1"/>
    <col min="27" max="27" width="9.42578125" customWidth="1"/>
    <col min="28" max="28" width="5" customWidth="1"/>
    <col min="29" max="29" width="5.140625" customWidth="1"/>
    <col min="30" max="30" width="8.140625" customWidth="1"/>
    <col min="31" max="31" width="3.5703125" customWidth="1"/>
    <col min="32" max="32" width="1" customWidth="1"/>
  </cols>
  <sheetData>
    <row r="1" spans="1:37" ht="22.15" customHeight="1"/>
    <row r="2" spans="1:37" ht="23.25" customHeight="1"/>
    <row r="3" spans="1:37" ht="22.15" customHeight="1"/>
    <row r="4" spans="1:37" ht="16.5" customHeight="1">
      <c r="AA4" s="547"/>
      <c r="AB4" s="548"/>
      <c r="AC4" s="548"/>
      <c r="AD4" s="548"/>
    </row>
    <row r="5" spans="1:37" ht="20.25" customHeight="1">
      <c r="Z5" s="59"/>
      <c r="AA5" s="548"/>
      <c r="AB5" s="548"/>
      <c r="AC5" s="548"/>
      <c r="AD5" s="548"/>
      <c r="AE5" s="59"/>
    </row>
    <row r="6" spans="1:37" ht="22.15" customHeight="1">
      <c r="B6" s="549" t="s">
        <v>15</v>
      </c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</row>
    <row r="7" spans="1:37" ht="22.15" customHeight="1">
      <c r="B7" s="483" t="s">
        <v>44</v>
      </c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</row>
    <row r="8" spans="1:37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7" ht="20.100000000000001" customHeight="1">
      <c r="A9" s="1"/>
      <c r="B9" s="571" t="s">
        <v>14</v>
      </c>
      <c r="C9" s="571"/>
      <c r="D9" s="571"/>
      <c r="E9" s="568" t="str">
        <f>'CALCULO SELLO CALIZO'!B2</f>
        <v>SAN LUIS DEL CORDERO - SAN PEDRO DEL GALLO</v>
      </c>
      <c r="F9" s="568"/>
      <c r="G9" s="568"/>
      <c r="H9" s="568"/>
      <c r="I9" s="568"/>
      <c r="J9" s="568"/>
      <c r="K9" s="568"/>
      <c r="L9" s="568"/>
      <c r="M9" s="568"/>
      <c r="N9" s="568"/>
      <c r="O9" s="568"/>
      <c r="P9" s="568"/>
      <c r="Q9" s="568"/>
      <c r="R9" s="56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1"/>
    </row>
    <row r="10" spans="1:37" ht="20.100000000000001" customHeight="1">
      <c r="A10" s="1"/>
      <c r="B10" s="571"/>
      <c r="C10" s="571"/>
      <c r="D10" s="571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" t="s">
        <v>0</v>
      </c>
      <c r="T10" s="5"/>
      <c r="U10" s="488">
        <f>'CALCULO TEORICO MEZCLA'!M2</f>
        <v>635</v>
      </c>
      <c r="V10" s="488"/>
      <c r="W10" s="488"/>
      <c r="X10" s="488"/>
      <c r="Y10" s="488"/>
      <c r="Z10" s="488"/>
      <c r="AA10" s="488"/>
      <c r="AB10" s="488"/>
      <c r="AC10" s="488"/>
      <c r="AD10" s="488"/>
      <c r="AE10" s="6"/>
      <c r="AF10" s="1"/>
    </row>
    <row r="11" spans="1:37" ht="20.100000000000001" customHeight="1">
      <c r="A11" s="1"/>
      <c r="B11" s="571"/>
      <c r="C11" s="571"/>
      <c r="D11" s="571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" t="s">
        <v>1</v>
      </c>
      <c r="T11" s="5"/>
      <c r="U11" s="5"/>
      <c r="V11" s="7"/>
      <c r="W11" s="33" t="e">
        <f>#REF!</f>
        <v>#REF!</v>
      </c>
      <c r="X11" s="491">
        <f>'CALCULO TEORICO MEZCLA'!N3</f>
        <v>42341</v>
      </c>
      <c r="Y11" s="491"/>
      <c r="Z11" s="491"/>
      <c r="AA11" s="491"/>
      <c r="AB11" s="491"/>
      <c r="AC11" s="491"/>
      <c r="AD11" s="491"/>
      <c r="AE11" s="6"/>
      <c r="AF11" s="1"/>
      <c r="AG11" s="1"/>
      <c r="AH11" s="1"/>
      <c r="AI11" s="1"/>
      <c r="AJ11" s="1"/>
      <c r="AK11" s="1"/>
    </row>
    <row r="12" spans="1:37" ht="20.100000000000001" customHeight="1">
      <c r="A12" s="1"/>
      <c r="B12" s="571"/>
      <c r="C12" s="571"/>
      <c r="D12" s="571"/>
      <c r="E12" s="568"/>
      <c r="F12" s="568"/>
      <c r="G12" s="568"/>
      <c r="H12" s="568"/>
      <c r="I12" s="568"/>
      <c r="J12" s="568"/>
      <c r="K12" s="568"/>
      <c r="L12" s="568"/>
      <c r="M12" s="568"/>
      <c r="N12" s="568"/>
      <c r="O12" s="568"/>
      <c r="P12" s="568"/>
      <c r="Q12" s="568"/>
      <c r="R12" s="568"/>
      <c r="S12" s="5" t="s">
        <v>2</v>
      </c>
      <c r="T12" s="5"/>
      <c r="U12" s="5"/>
      <c r="V12" s="489">
        <f>'CALCULO TEORICO MEZCLA'!N4</f>
        <v>42345</v>
      </c>
      <c r="W12" s="490"/>
      <c r="X12" s="490"/>
      <c r="Y12" s="490"/>
      <c r="Z12" s="490"/>
      <c r="AA12" s="490"/>
      <c r="AB12" s="490"/>
      <c r="AC12" s="490"/>
      <c r="AD12" s="490"/>
      <c r="AE12" s="6"/>
      <c r="AF12" s="1"/>
      <c r="AG12" s="1"/>
      <c r="AH12" s="1"/>
      <c r="AI12" s="1"/>
      <c r="AJ12" s="1"/>
      <c r="AK12" s="1"/>
    </row>
    <row r="13" spans="1:37" ht="20.100000000000001" customHeight="1">
      <c r="A13" s="1"/>
      <c r="B13" s="571"/>
      <c r="C13" s="571"/>
      <c r="D13" s="571"/>
      <c r="E13" s="568"/>
      <c r="F13" s="568"/>
      <c r="G13" s="568"/>
      <c r="H13" s="568"/>
      <c r="I13" s="568"/>
      <c r="J13" s="568"/>
      <c r="K13" s="568"/>
      <c r="L13" s="568"/>
      <c r="M13" s="568"/>
      <c r="N13" s="568"/>
      <c r="O13" s="568"/>
      <c r="P13" s="568"/>
      <c r="Q13" s="568"/>
      <c r="R13" s="56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1"/>
      <c r="AG13" s="1"/>
      <c r="AH13" s="1"/>
      <c r="AI13" s="1"/>
      <c r="AJ13" s="1"/>
      <c r="AK13" s="1"/>
    </row>
    <row r="14" spans="1:37" ht="15" customHeight="1">
      <c r="A14" s="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1"/>
      <c r="AF14" s="1"/>
      <c r="AG14" s="1"/>
      <c r="AH14" s="1"/>
      <c r="AI14" s="1"/>
      <c r="AJ14" s="1"/>
      <c r="AK14" s="1"/>
    </row>
    <row r="15" spans="1:37" ht="28.9" customHeight="1">
      <c r="A15" s="1"/>
      <c r="B15" s="572" t="s">
        <v>3</v>
      </c>
      <c r="C15" s="573"/>
      <c r="D15" s="500" t="s">
        <v>4</v>
      </c>
      <c r="E15" s="500"/>
      <c r="F15" s="500"/>
      <c r="G15" s="501" t="s">
        <v>458</v>
      </c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10"/>
      <c r="X15" s="10" t="s">
        <v>5</v>
      </c>
      <c r="Y15" s="10"/>
      <c r="Z15" s="10"/>
      <c r="AA15" s="10"/>
      <c r="AB15" s="494" t="s">
        <v>50</v>
      </c>
      <c r="AC15" s="494"/>
      <c r="AD15" s="494"/>
      <c r="AE15" s="11"/>
      <c r="AF15" s="1"/>
      <c r="AG15" s="1"/>
      <c r="AH15" s="1"/>
      <c r="AI15" s="1"/>
      <c r="AJ15" s="1"/>
      <c r="AK15" s="1"/>
    </row>
    <row r="16" spans="1:37" ht="28.9" customHeight="1">
      <c r="A16" s="1"/>
      <c r="B16" s="574"/>
      <c r="C16" s="575"/>
      <c r="D16" s="540" t="s">
        <v>6</v>
      </c>
      <c r="E16" s="540"/>
      <c r="F16" s="540"/>
      <c r="G16" s="540"/>
      <c r="H16" s="540"/>
      <c r="I16" s="540"/>
      <c r="J16" s="495" t="str">
        <f>'INFORME PETREO POLVILLO ARENAS'!J16:AD16</f>
        <v>TRITURACION TOTAL</v>
      </c>
      <c r="K16" s="495"/>
      <c r="L16" s="495"/>
      <c r="M16" s="495"/>
      <c r="N16" s="495"/>
      <c r="O16" s="495"/>
      <c r="P16" s="495"/>
      <c r="Q16" s="495"/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6"/>
      <c r="AF16" s="1"/>
      <c r="AG16" s="1"/>
      <c r="AH16" s="1"/>
      <c r="AI16" s="1"/>
      <c r="AJ16" s="1"/>
      <c r="AK16" s="1"/>
    </row>
    <row r="17" spans="1:37" ht="28.9" customHeight="1">
      <c r="A17" s="1"/>
      <c r="B17" s="574"/>
      <c r="C17" s="575"/>
      <c r="D17" s="540" t="s">
        <v>7</v>
      </c>
      <c r="E17" s="540"/>
      <c r="F17" s="540"/>
      <c r="G17" s="540"/>
      <c r="H17" s="540"/>
      <c r="I17" s="495" t="s">
        <v>460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6"/>
      <c r="AF17" s="1"/>
      <c r="AG17" s="1"/>
      <c r="AH17" s="1"/>
      <c r="AI17" s="1"/>
      <c r="AJ17" s="1"/>
      <c r="AK17" s="1"/>
    </row>
    <row r="18" spans="1:37" ht="28.9" customHeight="1">
      <c r="A18" s="1"/>
      <c r="B18" s="576"/>
      <c r="C18" s="577"/>
      <c r="D18" s="558" t="s">
        <v>49</v>
      </c>
      <c r="E18" s="559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9" t="str">
        <f>'INFORME PETREO POLVILLO ARENAS'!P18:AE18</f>
        <v>PLANTA CRIBISA EN LERDO, DGO.</v>
      </c>
      <c r="Q18" s="559"/>
      <c r="R18" s="559"/>
      <c r="S18" s="559"/>
      <c r="T18" s="559"/>
      <c r="U18" s="559"/>
      <c r="V18" s="559"/>
      <c r="W18" s="559"/>
      <c r="X18" s="559"/>
      <c r="Y18" s="559"/>
      <c r="Z18" s="559"/>
      <c r="AA18" s="559"/>
      <c r="AB18" s="559"/>
      <c r="AC18" s="559"/>
      <c r="AD18" s="559"/>
      <c r="AE18" s="560"/>
      <c r="AF18" s="1"/>
      <c r="AG18" s="1"/>
      <c r="AH18" s="1"/>
      <c r="AI18" s="1"/>
      <c r="AJ18" s="1"/>
      <c r="AK18" s="1"/>
    </row>
    <row r="19" spans="1:37" ht="15" customHeight="1">
      <c r="A19" s="1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1"/>
      <c r="AF19" s="1"/>
      <c r="AG19" s="1"/>
      <c r="AH19" s="1"/>
      <c r="AI19" s="1"/>
      <c r="AJ19" s="1"/>
      <c r="AK19" s="1"/>
    </row>
    <row r="20" spans="1:37" ht="28.5" customHeight="1">
      <c r="A20" s="1"/>
      <c r="B20" s="541" t="s">
        <v>48</v>
      </c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542"/>
      <c r="V20" s="542"/>
      <c r="W20" s="542"/>
      <c r="X20" s="542"/>
      <c r="Y20" s="542"/>
      <c r="Z20" s="542"/>
      <c r="AA20" s="542"/>
      <c r="AB20" s="542"/>
      <c r="AC20" s="542"/>
      <c r="AD20" s="542"/>
      <c r="AE20" s="543"/>
      <c r="AF20" s="1"/>
      <c r="AG20" s="1"/>
      <c r="AH20" s="1"/>
      <c r="AI20" s="1"/>
      <c r="AJ20" s="1"/>
      <c r="AK20" s="1"/>
    </row>
    <row r="21" spans="1:37" ht="34.5" customHeight="1">
      <c r="A21" s="1"/>
      <c r="B21" s="568" t="s">
        <v>8</v>
      </c>
      <c r="C21" s="568"/>
      <c r="D21" s="568"/>
      <c r="E21" s="568"/>
      <c r="F21" s="555" t="s">
        <v>32</v>
      </c>
      <c r="G21" s="556"/>
      <c r="H21" s="556"/>
      <c r="I21" s="556"/>
      <c r="J21" s="556"/>
      <c r="K21" s="557"/>
      <c r="L21" s="18"/>
      <c r="M21" s="1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11"/>
      <c r="AF21" s="1"/>
      <c r="AG21" s="1"/>
      <c r="AH21" s="1"/>
      <c r="AI21" s="1"/>
      <c r="AJ21" s="1"/>
      <c r="AK21" s="1"/>
    </row>
    <row r="22" spans="1:37" ht="41.25" customHeight="1">
      <c r="A22" s="1"/>
      <c r="B22" s="568"/>
      <c r="C22" s="568"/>
      <c r="D22" s="568"/>
      <c r="E22" s="568"/>
      <c r="F22" s="564" t="s">
        <v>459</v>
      </c>
      <c r="G22" s="565"/>
      <c r="H22" s="565"/>
      <c r="I22" s="565"/>
      <c r="J22" s="565"/>
      <c r="K22" s="566"/>
      <c r="L22" s="14"/>
      <c r="M22" s="544" t="s">
        <v>36</v>
      </c>
      <c r="N22" s="15"/>
      <c r="O22" s="6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6"/>
      <c r="AF22" s="1"/>
      <c r="AG22" s="1"/>
      <c r="AH22" s="1"/>
      <c r="AI22" s="1"/>
      <c r="AJ22" s="1"/>
      <c r="AK22" s="1"/>
    </row>
    <row r="23" spans="1:37" ht="20.100000000000001" customHeight="1">
      <c r="A23" s="1"/>
      <c r="B23" s="561" t="s">
        <v>52</v>
      </c>
      <c r="C23" s="562"/>
      <c r="D23" s="562"/>
      <c r="E23" s="563"/>
      <c r="F23" s="564"/>
      <c r="G23" s="565"/>
      <c r="H23" s="565"/>
      <c r="I23" s="565"/>
      <c r="J23" s="565"/>
      <c r="K23" s="566"/>
      <c r="L23" s="14"/>
      <c r="M23" s="544"/>
      <c r="N23" s="15"/>
      <c r="O23" s="6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6"/>
      <c r="AF23" s="1"/>
      <c r="AG23" s="1"/>
      <c r="AH23" s="1"/>
      <c r="AI23" s="1"/>
      <c r="AJ23" s="1"/>
      <c r="AK23" s="1"/>
    </row>
    <row r="24" spans="1:37" ht="21" customHeight="1">
      <c r="A24" s="1"/>
      <c r="B24" s="569" t="s">
        <v>16</v>
      </c>
      <c r="C24" s="569"/>
      <c r="D24" s="570" t="s">
        <v>17</v>
      </c>
      <c r="E24" s="570"/>
      <c r="F24" s="564" t="s">
        <v>33</v>
      </c>
      <c r="G24" s="565"/>
      <c r="H24" s="565"/>
      <c r="I24" s="565"/>
      <c r="J24" s="565"/>
      <c r="K24" s="566"/>
      <c r="L24" s="14"/>
      <c r="M24" s="544"/>
      <c r="N24" s="15"/>
      <c r="O24" s="336">
        <v>25</v>
      </c>
      <c r="P24" s="15">
        <v>0</v>
      </c>
      <c r="Q24" s="15">
        <v>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6"/>
      <c r="AF24" s="1"/>
      <c r="AG24" s="1"/>
      <c r="AH24" s="1"/>
      <c r="AI24" s="1"/>
      <c r="AJ24" s="1"/>
      <c r="AK24" s="1"/>
    </row>
    <row r="25" spans="1:37" ht="21" customHeight="1">
      <c r="A25" s="1"/>
      <c r="B25" s="569"/>
      <c r="C25" s="569"/>
      <c r="D25" s="570"/>
      <c r="E25" s="570"/>
      <c r="F25" s="63" t="s">
        <v>34</v>
      </c>
      <c r="G25" s="567" t="s">
        <v>35</v>
      </c>
      <c r="H25" s="567"/>
      <c r="I25" s="567"/>
      <c r="J25" s="567"/>
      <c r="K25" s="567"/>
      <c r="L25" s="14"/>
      <c r="M25" s="544"/>
      <c r="N25" s="15"/>
      <c r="O25" s="336">
        <v>50</v>
      </c>
      <c r="P25" s="15">
        <v>0</v>
      </c>
      <c r="Q25" s="15">
        <v>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6"/>
      <c r="AF25" s="1"/>
      <c r="AG25" s="1"/>
      <c r="AH25" s="1"/>
      <c r="AI25" s="1"/>
      <c r="AJ25" s="1"/>
      <c r="AK25" s="1"/>
    </row>
    <row r="26" spans="1:37" ht="21" customHeight="1">
      <c r="A26" s="1"/>
      <c r="B26" s="554">
        <v>50</v>
      </c>
      <c r="C26" s="554"/>
      <c r="D26" s="499" t="s">
        <v>18</v>
      </c>
      <c r="E26" s="499"/>
      <c r="F26" s="58">
        <f>'CALCULO POLVILLO ARENAS'!F10</f>
        <v>100</v>
      </c>
      <c r="G26" s="496">
        <v>100</v>
      </c>
      <c r="H26" s="497"/>
      <c r="I26" s="497"/>
      <c r="J26" s="497"/>
      <c r="K26" s="498"/>
      <c r="L26" s="14"/>
      <c r="M26" s="544"/>
      <c r="N26" s="15"/>
      <c r="O26" s="336">
        <v>37.5</v>
      </c>
      <c r="P26" s="15">
        <v>0</v>
      </c>
      <c r="Q26" s="15">
        <v>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6"/>
      <c r="AF26" s="1"/>
      <c r="AG26" s="1"/>
      <c r="AH26" s="1"/>
      <c r="AI26" s="1"/>
      <c r="AJ26" s="1"/>
      <c r="AK26" s="1"/>
    </row>
    <row r="27" spans="1:37" ht="21" customHeight="1">
      <c r="A27" s="1"/>
      <c r="B27" s="554">
        <v>37.5</v>
      </c>
      <c r="C27" s="554"/>
      <c r="D27" s="499" t="s">
        <v>19</v>
      </c>
      <c r="E27" s="499"/>
      <c r="F27" s="58">
        <f>'CALCULO POLVILLO ARENAS'!F11</f>
        <v>100</v>
      </c>
      <c r="G27" s="496">
        <v>100</v>
      </c>
      <c r="H27" s="497"/>
      <c r="I27" s="497"/>
      <c r="J27" s="497"/>
      <c r="K27" s="498"/>
      <c r="L27" s="14"/>
      <c r="M27" s="544"/>
      <c r="N27" s="15"/>
      <c r="O27" s="336">
        <v>25</v>
      </c>
      <c r="P27" s="15">
        <v>100</v>
      </c>
      <c r="Q27" s="15">
        <v>100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6"/>
      <c r="AF27" s="1"/>
      <c r="AG27" s="1"/>
      <c r="AH27" s="1"/>
      <c r="AI27" s="1"/>
      <c r="AJ27" s="1"/>
      <c r="AK27" s="1"/>
    </row>
    <row r="28" spans="1:37" ht="21" customHeight="1">
      <c r="A28" s="1"/>
      <c r="B28" s="545">
        <v>25</v>
      </c>
      <c r="C28" s="545"/>
      <c r="D28" s="505" t="s">
        <v>20</v>
      </c>
      <c r="E28" s="505"/>
      <c r="F28" s="58">
        <f>'CALCULO TEORICO MEZCLA'!D21</f>
        <v>100</v>
      </c>
      <c r="G28" s="502"/>
      <c r="H28" s="503"/>
      <c r="I28" s="503"/>
      <c r="J28" s="503"/>
      <c r="K28" s="504"/>
      <c r="L28" s="14"/>
      <c r="M28" s="544"/>
      <c r="N28" s="15"/>
      <c r="O28" s="336">
        <v>19</v>
      </c>
      <c r="P28" s="15">
        <v>100</v>
      </c>
      <c r="Q28" s="15">
        <v>100</v>
      </c>
      <c r="R28" s="15"/>
      <c r="S28" s="17"/>
      <c r="T28" s="15"/>
      <c r="U28" s="15"/>
      <c r="V28" s="15"/>
      <c r="W28" s="15"/>
      <c r="X28" s="307">
        <v>0.25</v>
      </c>
      <c r="Y28" s="15"/>
      <c r="Z28" s="15"/>
      <c r="AA28" s="15"/>
      <c r="AB28" s="15"/>
      <c r="AC28" s="15"/>
      <c r="AD28" s="15"/>
      <c r="AE28" s="6"/>
      <c r="AF28" s="1"/>
      <c r="AG28" s="1"/>
      <c r="AH28" s="1"/>
      <c r="AI28" s="1"/>
      <c r="AJ28" s="1"/>
      <c r="AK28" s="1"/>
    </row>
    <row r="29" spans="1:37" ht="21.6" customHeight="1">
      <c r="A29" s="1"/>
      <c r="B29" s="545">
        <v>19</v>
      </c>
      <c r="C29" s="545"/>
      <c r="D29" s="505" t="s">
        <v>21</v>
      </c>
      <c r="E29" s="505"/>
      <c r="F29" s="58">
        <f>'CALCULO TEORICO MEZCLA'!E21</f>
        <v>100</v>
      </c>
      <c r="G29" s="502"/>
      <c r="H29" s="503"/>
      <c r="I29" s="503"/>
      <c r="J29" s="503"/>
      <c r="K29" s="504"/>
      <c r="L29" s="14"/>
      <c r="M29" s="544"/>
      <c r="N29" s="15"/>
      <c r="O29" s="336">
        <v>12.5</v>
      </c>
      <c r="P29" s="15">
        <v>100</v>
      </c>
      <c r="Q29" s="15">
        <v>100</v>
      </c>
      <c r="R29" s="15"/>
      <c r="S29" s="17"/>
      <c r="T29" s="15"/>
      <c r="U29" s="15"/>
      <c r="V29" s="15"/>
      <c r="W29" s="15"/>
      <c r="X29" s="307">
        <v>0.375</v>
      </c>
      <c r="Y29" s="15"/>
      <c r="Z29" s="15"/>
      <c r="AA29" s="15"/>
      <c r="AB29" s="15"/>
      <c r="AC29" s="15"/>
      <c r="AD29" s="15"/>
      <c r="AE29" s="6"/>
      <c r="AF29" s="1"/>
      <c r="AG29" s="1"/>
      <c r="AH29" s="1"/>
      <c r="AI29" s="1"/>
      <c r="AJ29" s="1"/>
      <c r="AK29" s="1"/>
    </row>
    <row r="30" spans="1:37" ht="21.6" customHeight="1">
      <c r="A30" s="1"/>
      <c r="B30" s="545">
        <v>12.5</v>
      </c>
      <c r="C30" s="545"/>
      <c r="D30" s="505" t="s">
        <v>22</v>
      </c>
      <c r="E30" s="505"/>
      <c r="F30" s="44">
        <f>'CALCULO TEORICO MEZCLA'!F21</f>
        <v>100</v>
      </c>
      <c r="G30" s="502">
        <v>100</v>
      </c>
      <c r="H30" s="503"/>
      <c r="I30" s="503"/>
      <c r="J30" s="503"/>
      <c r="K30" s="504"/>
      <c r="L30" s="14"/>
      <c r="M30" s="544"/>
      <c r="N30" s="15"/>
      <c r="O30" s="336">
        <v>9.5</v>
      </c>
      <c r="P30" s="15">
        <v>90</v>
      </c>
      <c r="Q30" s="15">
        <v>100</v>
      </c>
      <c r="R30" s="15"/>
      <c r="S30" s="17"/>
      <c r="T30" s="15"/>
      <c r="U30" s="15"/>
      <c r="V30" s="15"/>
      <c r="W30" s="15"/>
      <c r="X30" s="307">
        <v>0.5</v>
      </c>
      <c r="Y30" s="15"/>
      <c r="Z30" s="15"/>
      <c r="AA30" s="15"/>
      <c r="AB30" s="15"/>
      <c r="AC30" s="15"/>
      <c r="AD30" s="15"/>
      <c r="AE30" s="6"/>
      <c r="AF30" s="1"/>
      <c r="AG30" s="1"/>
      <c r="AH30" s="1"/>
      <c r="AI30" s="1"/>
      <c r="AJ30" s="1"/>
      <c r="AK30" s="1"/>
    </row>
    <row r="31" spans="1:37" ht="21.6" customHeight="1">
      <c r="A31" s="1"/>
      <c r="B31" s="545">
        <v>9.5</v>
      </c>
      <c r="C31" s="545"/>
      <c r="D31" s="505" t="s">
        <v>23</v>
      </c>
      <c r="E31" s="505"/>
      <c r="F31" s="44">
        <f>'CALCULO TEORICO MEZCLA'!G21</f>
        <v>99.646814460536859</v>
      </c>
      <c r="G31" s="502" t="s">
        <v>9</v>
      </c>
      <c r="H31" s="503"/>
      <c r="I31" s="503"/>
      <c r="J31" s="503"/>
      <c r="K31" s="504"/>
      <c r="L31" s="14"/>
      <c r="M31" s="544"/>
      <c r="N31" s="15"/>
      <c r="O31" s="336">
        <v>6.3</v>
      </c>
      <c r="P31" s="15">
        <v>70</v>
      </c>
      <c r="Q31" s="15">
        <v>81</v>
      </c>
      <c r="R31" s="15"/>
      <c r="S31" s="17"/>
      <c r="T31" s="15"/>
      <c r="U31" s="15"/>
      <c r="V31" s="15"/>
      <c r="W31" s="15"/>
      <c r="X31" s="307">
        <v>0.75</v>
      </c>
      <c r="Y31" s="15"/>
      <c r="Z31" s="15"/>
      <c r="AA31" s="15"/>
      <c r="AB31" s="15"/>
      <c r="AC31" s="15"/>
      <c r="AD31" s="15"/>
      <c r="AE31" s="6"/>
      <c r="AF31" s="1"/>
      <c r="AG31" s="1"/>
      <c r="AH31" s="1"/>
      <c r="AI31" s="1"/>
      <c r="AJ31" s="1"/>
      <c r="AK31" s="1"/>
    </row>
    <row r="32" spans="1:37" ht="21.6" customHeight="1">
      <c r="A32" s="1"/>
      <c r="B32" s="545">
        <v>6.3</v>
      </c>
      <c r="C32" s="545"/>
      <c r="D32" s="505" t="s">
        <v>24</v>
      </c>
      <c r="E32" s="505"/>
      <c r="F32" s="44">
        <f>'CALCULO TEORICO MEZCLA'!H21</f>
        <v>80.227717570710553</v>
      </c>
      <c r="G32" s="502" t="s">
        <v>431</v>
      </c>
      <c r="H32" s="503"/>
      <c r="I32" s="503"/>
      <c r="J32" s="503"/>
      <c r="K32" s="504"/>
      <c r="L32" s="14"/>
      <c r="M32" s="544"/>
      <c r="N32" s="15"/>
      <c r="O32" s="336">
        <v>4.75</v>
      </c>
      <c r="P32" s="15">
        <v>56</v>
      </c>
      <c r="Q32" s="15">
        <v>69</v>
      </c>
      <c r="R32" s="15"/>
      <c r="S32" s="17"/>
      <c r="T32" s="15"/>
      <c r="U32" s="15"/>
      <c r="V32" s="15"/>
      <c r="W32" s="15"/>
      <c r="X32" s="307">
        <v>4</v>
      </c>
      <c r="Y32" s="15"/>
      <c r="Z32" s="15"/>
      <c r="AA32" s="15"/>
      <c r="AB32" s="15"/>
      <c r="AC32" s="15"/>
      <c r="AD32" s="15"/>
      <c r="AE32" s="6"/>
      <c r="AF32" s="1"/>
      <c r="AG32" s="1"/>
      <c r="AH32" s="1"/>
      <c r="AI32" s="1"/>
      <c r="AJ32" s="1"/>
      <c r="AK32" s="1"/>
    </row>
    <row r="33" spans="1:37" ht="21.6" customHeight="1">
      <c r="A33" s="1"/>
      <c r="B33" s="545">
        <v>4.75</v>
      </c>
      <c r="C33" s="545"/>
      <c r="D33" s="505" t="s">
        <v>25</v>
      </c>
      <c r="E33" s="505"/>
      <c r="F33" s="44">
        <f>'CALCULO TEORICO MEZCLA'!I21</f>
        <v>68.200780629019334</v>
      </c>
      <c r="G33" s="502" t="s">
        <v>432</v>
      </c>
      <c r="H33" s="503"/>
      <c r="I33" s="503"/>
      <c r="J33" s="503"/>
      <c r="K33" s="504"/>
      <c r="L33" s="14"/>
      <c r="M33" s="544"/>
      <c r="N33" s="15"/>
      <c r="O33" s="336">
        <v>2</v>
      </c>
      <c r="P33" s="15">
        <v>28</v>
      </c>
      <c r="Q33" s="15">
        <v>42</v>
      </c>
      <c r="R33" s="15"/>
      <c r="S33" s="17"/>
      <c r="T33" s="15"/>
      <c r="U33" s="15"/>
      <c r="V33" s="15"/>
      <c r="W33" s="15"/>
      <c r="X33" s="307">
        <v>10</v>
      </c>
      <c r="Y33" s="15"/>
      <c r="Z33" s="15"/>
      <c r="AA33" s="15"/>
      <c r="AB33" s="15"/>
      <c r="AC33" s="15"/>
      <c r="AD33" s="15"/>
      <c r="AE33" s="6"/>
      <c r="AF33" s="1"/>
      <c r="AG33" s="1"/>
      <c r="AH33" s="1"/>
      <c r="AI33" s="1"/>
      <c r="AJ33" s="1"/>
      <c r="AK33" s="1"/>
    </row>
    <row r="34" spans="1:37" ht="21.6" customHeight="1">
      <c r="A34" s="1"/>
      <c r="B34" s="545">
        <v>2</v>
      </c>
      <c r="C34" s="545"/>
      <c r="D34" s="505" t="s">
        <v>26</v>
      </c>
      <c r="E34" s="505"/>
      <c r="F34" s="44">
        <f>'CALCULO TEORICO MEZCLA'!J21</f>
        <v>37.359673314639217</v>
      </c>
      <c r="G34" s="502" t="s">
        <v>433</v>
      </c>
      <c r="H34" s="503"/>
      <c r="I34" s="503"/>
      <c r="J34" s="503"/>
      <c r="K34" s="504"/>
      <c r="L34" s="14"/>
      <c r="M34" s="544"/>
      <c r="N34" s="15"/>
      <c r="O34" s="336">
        <v>0.85</v>
      </c>
      <c r="P34" s="15">
        <v>18</v>
      </c>
      <c r="Q34" s="15">
        <v>27</v>
      </c>
      <c r="R34" s="15"/>
      <c r="S34" s="17"/>
      <c r="T34" s="15"/>
      <c r="U34" s="15"/>
      <c r="V34" s="15"/>
      <c r="W34" s="15"/>
      <c r="X34" s="307">
        <v>20</v>
      </c>
      <c r="Y34" s="15"/>
      <c r="Z34" s="15"/>
      <c r="AA34" s="15"/>
      <c r="AB34" s="15"/>
      <c r="AC34" s="15"/>
      <c r="AD34" s="15"/>
      <c r="AE34" s="6"/>
      <c r="AF34" s="1"/>
      <c r="AG34" s="1"/>
      <c r="AH34" s="1"/>
      <c r="AI34" s="1"/>
      <c r="AJ34" s="1"/>
      <c r="AK34" s="1"/>
    </row>
    <row r="35" spans="1:37" ht="21.6" customHeight="1">
      <c r="A35" s="1"/>
      <c r="B35" s="545">
        <v>0.85</v>
      </c>
      <c r="C35" s="545"/>
      <c r="D35" s="505" t="s">
        <v>27</v>
      </c>
      <c r="E35" s="505"/>
      <c r="F35" s="44">
        <f>'CALCULO TEORICO MEZCLA'!K21</f>
        <v>23.214434955771178</v>
      </c>
      <c r="G35" s="502" t="s">
        <v>434</v>
      </c>
      <c r="H35" s="503"/>
      <c r="I35" s="503"/>
      <c r="J35" s="503"/>
      <c r="K35" s="504"/>
      <c r="L35" s="14"/>
      <c r="M35" s="544"/>
      <c r="N35" s="15"/>
      <c r="O35" s="336">
        <v>0.42499999999999999</v>
      </c>
      <c r="P35" s="15">
        <v>13</v>
      </c>
      <c r="Q35" s="15">
        <v>20</v>
      </c>
      <c r="R35" s="15"/>
      <c r="S35" s="17"/>
      <c r="T35" s="15"/>
      <c r="U35" s="15"/>
      <c r="V35" s="15"/>
      <c r="W35" s="15"/>
      <c r="X35" s="307">
        <v>40</v>
      </c>
      <c r="Y35" s="15"/>
      <c r="Z35" s="15"/>
      <c r="AA35" s="15"/>
      <c r="AB35" s="15"/>
      <c r="AC35" s="15"/>
      <c r="AD35" s="15"/>
      <c r="AE35" s="6"/>
      <c r="AF35" s="1"/>
      <c r="AG35" s="1"/>
      <c r="AH35" s="1"/>
      <c r="AI35" s="1"/>
      <c r="AJ35" s="1"/>
      <c r="AK35" s="1"/>
    </row>
    <row r="36" spans="1:37" ht="21.6" customHeight="1">
      <c r="A36" s="1"/>
      <c r="B36" s="545">
        <v>0.42499999999999999</v>
      </c>
      <c r="C36" s="545"/>
      <c r="D36" s="505" t="s">
        <v>28</v>
      </c>
      <c r="E36" s="505"/>
      <c r="F36" s="44">
        <f>'CALCULO TEORICO MEZCLA'!L21</f>
        <v>14.762535511647789</v>
      </c>
      <c r="G36" s="502" t="s">
        <v>435</v>
      </c>
      <c r="H36" s="503"/>
      <c r="I36" s="503"/>
      <c r="J36" s="503"/>
      <c r="K36" s="504"/>
      <c r="L36" s="14"/>
      <c r="M36" s="544"/>
      <c r="N36" s="15"/>
      <c r="O36" s="336">
        <v>0.25</v>
      </c>
      <c r="P36" s="15">
        <v>10</v>
      </c>
      <c r="Q36" s="15">
        <v>15</v>
      </c>
      <c r="R36" s="15"/>
      <c r="S36" s="17"/>
      <c r="T36" s="15"/>
      <c r="U36" s="15"/>
      <c r="V36" s="15"/>
      <c r="W36" s="15"/>
      <c r="X36" s="307">
        <v>60</v>
      </c>
      <c r="Y36" s="15"/>
      <c r="Z36" s="15"/>
      <c r="AA36" s="15"/>
      <c r="AB36" s="15"/>
      <c r="AC36" s="15"/>
      <c r="AD36" s="15"/>
      <c r="AE36" s="6"/>
      <c r="AF36" s="1"/>
      <c r="AG36" s="1"/>
      <c r="AH36" s="1"/>
      <c r="AI36" s="1"/>
      <c r="AJ36" s="1"/>
      <c r="AK36" s="1"/>
    </row>
    <row r="37" spans="1:37" ht="21.6" customHeight="1">
      <c r="A37" s="1"/>
      <c r="B37" s="545">
        <v>0.25</v>
      </c>
      <c r="C37" s="545"/>
      <c r="D37" s="505" t="s">
        <v>29</v>
      </c>
      <c r="E37" s="505"/>
      <c r="F37" s="44">
        <f>'CALCULO TEORICO MEZCLA'!M21</f>
        <v>10.559172821495666</v>
      </c>
      <c r="G37" s="502" t="s">
        <v>436</v>
      </c>
      <c r="H37" s="503"/>
      <c r="I37" s="503"/>
      <c r="J37" s="503"/>
      <c r="K37" s="504"/>
      <c r="L37" s="14"/>
      <c r="M37" s="544"/>
      <c r="N37" s="15"/>
      <c r="O37" s="336">
        <v>0.15</v>
      </c>
      <c r="P37" s="15">
        <v>6</v>
      </c>
      <c r="Q37" s="15">
        <v>12</v>
      </c>
      <c r="R37" s="15"/>
      <c r="S37" s="17"/>
      <c r="T37" s="15"/>
      <c r="U37" s="15"/>
      <c r="V37" s="15"/>
      <c r="W37" s="15"/>
      <c r="X37" s="307">
        <v>100</v>
      </c>
      <c r="Y37" s="15"/>
      <c r="Z37" s="15"/>
      <c r="AA37" s="15"/>
      <c r="AB37" s="15"/>
      <c r="AC37" s="15"/>
      <c r="AD37" s="15"/>
      <c r="AE37" s="6"/>
      <c r="AF37" s="1"/>
      <c r="AG37" s="1"/>
      <c r="AH37" s="1"/>
      <c r="AI37" s="1"/>
      <c r="AJ37" s="1"/>
      <c r="AK37" s="1"/>
    </row>
    <row r="38" spans="1:37" ht="21.6" customHeight="1">
      <c r="A38" s="1"/>
      <c r="B38" s="545">
        <v>0.15</v>
      </c>
      <c r="C38" s="545"/>
      <c r="D38" s="505" t="s">
        <v>30</v>
      </c>
      <c r="E38" s="505"/>
      <c r="F38" s="44">
        <f>'CALCULO TEORICO MEZCLA'!N21</f>
        <v>8.7076916365477075</v>
      </c>
      <c r="G38" s="502" t="s">
        <v>437</v>
      </c>
      <c r="H38" s="503"/>
      <c r="I38" s="503"/>
      <c r="J38" s="503"/>
      <c r="K38" s="504"/>
      <c r="L38" s="14"/>
      <c r="M38" s="544"/>
      <c r="N38" s="15"/>
      <c r="O38" s="336">
        <v>7.4999999999999997E-2</v>
      </c>
      <c r="P38" s="15">
        <v>2</v>
      </c>
      <c r="Q38" s="15">
        <v>7</v>
      </c>
      <c r="R38" s="15"/>
      <c r="S38" s="17"/>
      <c r="T38" s="15"/>
      <c r="U38" s="15"/>
      <c r="V38" s="15"/>
      <c r="W38" s="15"/>
      <c r="X38" s="307">
        <v>200</v>
      </c>
      <c r="Y38" s="15"/>
      <c r="Z38" s="15"/>
      <c r="AA38" s="15"/>
      <c r="AB38" s="15"/>
      <c r="AC38" s="15"/>
      <c r="AD38" s="15"/>
      <c r="AE38" s="6"/>
      <c r="AF38" s="1"/>
      <c r="AG38" s="1"/>
      <c r="AH38" s="1"/>
      <c r="AI38" s="1"/>
      <c r="AJ38" s="1"/>
      <c r="AK38" s="1"/>
    </row>
    <row r="39" spans="1:37" ht="20.45" customHeight="1">
      <c r="A39" s="1"/>
      <c r="B39" s="546">
        <v>7.4999999999999997E-2</v>
      </c>
      <c r="C39" s="546"/>
      <c r="D39" s="487" t="s">
        <v>31</v>
      </c>
      <c r="E39" s="487"/>
      <c r="F39" s="44">
        <f>'CALCULO TEORICO MEZCLA'!O21</f>
        <v>6.2657380736974275</v>
      </c>
      <c r="G39" s="502" t="s">
        <v>438</v>
      </c>
      <c r="H39" s="503"/>
      <c r="I39" s="503"/>
      <c r="J39" s="503"/>
      <c r="K39" s="504"/>
      <c r="L39" s="14"/>
      <c r="M39" s="544"/>
      <c r="N39" s="61"/>
      <c r="O39" s="61"/>
      <c r="P39" s="550" t="s">
        <v>37</v>
      </c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50"/>
      <c r="AB39" s="550"/>
      <c r="AC39" s="550"/>
      <c r="AD39" s="36"/>
      <c r="AE39" s="6"/>
      <c r="AF39" s="1"/>
      <c r="AG39" s="1"/>
      <c r="AH39" s="1"/>
      <c r="AI39" s="1"/>
      <c r="AJ39" s="1"/>
      <c r="AK39" s="1"/>
    </row>
    <row r="40" spans="1:37" ht="15" customHeight="1">
      <c r="A40" s="1"/>
      <c r="B40" s="43"/>
      <c r="C40" s="43"/>
      <c r="D40" s="35"/>
      <c r="E40" s="35"/>
      <c r="F40" s="45"/>
      <c r="G40" s="37"/>
      <c r="H40" s="37"/>
      <c r="I40" s="37"/>
      <c r="J40" s="37"/>
      <c r="K40" s="37"/>
      <c r="L40" s="41"/>
      <c r="M40" s="41"/>
      <c r="N40" s="41"/>
      <c r="O40" s="41"/>
      <c r="P40" s="46"/>
      <c r="Q40" s="41"/>
      <c r="R40" s="41"/>
      <c r="S40" s="41"/>
      <c r="T40" s="41"/>
      <c r="U40" s="41"/>
      <c r="V40" s="41"/>
      <c r="W40" s="41"/>
      <c r="X40" s="41"/>
      <c r="Y40" s="16"/>
      <c r="Z40" s="16"/>
      <c r="AA40" s="16"/>
      <c r="AB40" s="16"/>
      <c r="AC40" s="16"/>
      <c r="AD40" s="16"/>
      <c r="AE40" s="16"/>
      <c r="AF40" s="1"/>
      <c r="AG40" s="1"/>
      <c r="AH40" s="1"/>
      <c r="AI40" s="1"/>
      <c r="AJ40" s="1"/>
      <c r="AK40" s="1"/>
    </row>
    <row r="41" spans="1:37" ht="27.75" customHeight="1">
      <c r="A41" s="1"/>
      <c r="B41" s="2"/>
      <c r="C41" s="54"/>
      <c r="D41" s="552" t="s">
        <v>38</v>
      </c>
      <c r="E41" s="553"/>
      <c r="F41" s="553"/>
      <c r="G41" s="553"/>
      <c r="H41" s="553"/>
      <c r="I41" s="553"/>
      <c r="J41" s="553"/>
      <c r="K41" s="553"/>
      <c r="L41" s="553"/>
      <c r="M41" s="553"/>
      <c r="N41" s="553"/>
      <c r="O41" s="553"/>
      <c r="P41" s="553"/>
      <c r="Q41" s="553"/>
      <c r="R41" s="553"/>
      <c r="S41" s="553"/>
      <c r="T41" s="553"/>
      <c r="U41" s="553"/>
      <c r="V41" s="553"/>
      <c r="W41" s="553"/>
      <c r="X41" s="553"/>
      <c r="Y41" s="47"/>
      <c r="Z41" s="38"/>
      <c r="AA41" s="38"/>
      <c r="AB41" s="38"/>
      <c r="AC41" s="38"/>
      <c r="AD41" s="38"/>
      <c r="AE41" s="38"/>
      <c r="AF41" s="1"/>
      <c r="AG41" s="1"/>
      <c r="AH41" s="1"/>
      <c r="AI41" s="1"/>
      <c r="AJ41" s="1"/>
      <c r="AK41" s="1"/>
    </row>
    <row r="42" spans="1:37" ht="21" customHeight="1">
      <c r="A42" s="1"/>
      <c r="B42" s="48"/>
      <c r="C42" s="48"/>
      <c r="D42" s="486" t="s">
        <v>45</v>
      </c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5" t="s">
        <v>34</v>
      </c>
      <c r="R42" s="485"/>
      <c r="S42" s="485"/>
      <c r="T42" s="485" t="s">
        <v>47</v>
      </c>
      <c r="U42" s="485"/>
      <c r="V42" s="485"/>
      <c r="W42" s="485"/>
      <c r="X42" s="485"/>
      <c r="Y42" s="48"/>
      <c r="Z42" s="48"/>
      <c r="AA42" s="48"/>
      <c r="AB42" s="48"/>
      <c r="AC42" s="48"/>
      <c r="AD42" s="48"/>
      <c r="AE42" s="48"/>
      <c r="AF42" s="1"/>
      <c r="AG42" s="1"/>
      <c r="AH42" s="1"/>
      <c r="AI42" s="1"/>
      <c r="AJ42" s="1"/>
      <c r="AK42" s="1"/>
    </row>
    <row r="43" spans="1:37" ht="20.45" customHeight="1">
      <c r="A43" s="1"/>
      <c r="B43" s="38"/>
      <c r="C43" s="38"/>
      <c r="D43" s="551" t="s">
        <v>39</v>
      </c>
      <c r="E43" s="551"/>
      <c r="F43" s="551"/>
      <c r="G43" s="551"/>
      <c r="H43" s="551"/>
      <c r="I43" s="551"/>
      <c r="J43" s="551"/>
      <c r="K43" s="551"/>
      <c r="L43" s="551"/>
      <c r="M43" s="551"/>
      <c r="N43" s="551"/>
      <c r="O43" s="551"/>
      <c r="P43" s="551"/>
      <c r="Q43" s="484"/>
      <c r="R43" s="484"/>
      <c r="S43" s="484"/>
      <c r="T43" s="485">
        <v>2.4</v>
      </c>
      <c r="U43" s="485"/>
      <c r="V43" s="485"/>
      <c r="W43" s="485"/>
      <c r="X43" s="485"/>
      <c r="Y43" s="24"/>
      <c r="Z43" s="24"/>
      <c r="AA43" s="24"/>
      <c r="AB43" s="24"/>
      <c r="AC43" s="24"/>
      <c r="AD43" s="24"/>
      <c r="AE43" s="24"/>
      <c r="AF43" s="1"/>
      <c r="AG43" s="1"/>
      <c r="AH43" s="1"/>
      <c r="AI43" s="1"/>
      <c r="AJ43" s="1"/>
      <c r="AK43" s="1"/>
    </row>
    <row r="44" spans="1:37" ht="20.45" customHeight="1">
      <c r="A44" s="1"/>
      <c r="B44" s="2"/>
      <c r="C44" s="38"/>
      <c r="D44" s="539" t="s">
        <v>40</v>
      </c>
      <c r="E44" s="539"/>
      <c r="F44" s="539"/>
      <c r="G44" s="539"/>
      <c r="H44" s="539"/>
      <c r="I44" s="539"/>
      <c r="J44" s="539"/>
      <c r="K44" s="539"/>
      <c r="L44" s="539"/>
      <c r="M44" s="539"/>
      <c r="N44" s="539"/>
      <c r="O44" s="539"/>
      <c r="P44" s="539"/>
      <c r="Q44" s="584"/>
      <c r="R44" s="584"/>
      <c r="S44" s="584"/>
      <c r="T44" s="485">
        <v>30</v>
      </c>
      <c r="U44" s="485"/>
      <c r="V44" s="485"/>
      <c r="W44" s="485"/>
      <c r="X44" s="485"/>
      <c r="Y44" s="24"/>
      <c r="Z44" s="24"/>
      <c r="AA44" s="24"/>
      <c r="AB44" s="24"/>
      <c r="AC44" s="24"/>
      <c r="AD44" s="24"/>
      <c r="AE44" s="24"/>
      <c r="AF44" s="1"/>
      <c r="AG44" s="1"/>
      <c r="AH44" s="1"/>
      <c r="AI44" s="1"/>
      <c r="AJ44" s="1"/>
      <c r="AK44" s="1"/>
    </row>
    <row r="45" spans="1:37" ht="20.45" customHeight="1">
      <c r="A45" s="1"/>
      <c r="B45" s="38"/>
      <c r="C45" s="38"/>
      <c r="D45" s="539" t="s">
        <v>41</v>
      </c>
      <c r="E45" s="539"/>
      <c r="F45" s="539"/>
      <c r="G45" s="539"/>
      <c r="H45" s="539"/>
      <c r="I45" s="539"/>
      <c r="J45" s="539"/>
      <c r="K45" s="539"/>
      <c r="L45" s="539"/>
      <c r="M45" s="539"/>
      <c r="N45" s="539"/>
      <c r="O45" s="539"/>
      <c r="P45" s="539"/>
      <c r="Q45" s="526"/>
      <c r="R45" s="485"/>
      <c r="S45" s="485"/>
      <c r="T45" s="485">
        <v>35</v>
      </c>
      <c r="U45" s="485"/>
      <c r="V45" s="485"/>
      <c r="W45" s="485"/>
      <c r="X45" s="485"/>
      <c r="Y45" s="24"/>
      <c r="Z45" s="24"/>
      <c r="AA45" s="24"/>
      <c r="AB45" s="24"/>
      <c r="AC45" s="24"/>
      <c r="AD45" s="24"/>
      <c r="AE45" s="24"/>
      <c r="AF45" s="1"/>
      <c r="AG45" s="1"/>
      <c r="AH45" s="1"/>
      <c r="AI45" s="1"/>
      <c r="AJ45" s="1"/>
      <c r="AK45" s="1"/>
    </row>
    <row r="46" spans="1:37" ht="20.45" customHeight="1">
      <c r="A46" s="1"/>
      <c r="B46" s="38"/>
      <c r="C46" s="38"/>
      <c r="D46" s="539" t="s">
        <v>42</v>
      </c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84"/>
      <c r="R46" s="584"/>
      <c r="S46" s="584"/>
      <c r="T46" s="485">
        <v>50</v>
      </c>
      <c r="U46" s="485"/>
      <c r="V46" s="485"/>
      <c r="W46" s="485"/>
      <c r="X46" s="485"/>
      <c r="Y46" s="24"/>
      <c r="Z46" s="24"/>
      <c r="AA46" s="24"/>
      <c r="AB46" s="24"/>
      <c r="AC46" s="24"/>
      <c r="AD46" s="24"/>
      <c r="AE46" s="24"/>
      <c r="AF46" s="1"/>
      <c r="AG46" s="1"/>
      <c r="AH46" s="1"/>
      <c r="AI46" s="1"/>
      <c r="AJ46" s="1"/>
      <c r="AK46" s="1"/>
    </row>
    <row r="47" spans="1:37" ht="20.45" customHeight="1">
      <c r="A47" s="1"/>
      <c r="B47" s="38"/>
      <c r="C47" s="38"/>
      <c r="D47" s="527" t="s">
        <v>43</v>
      </c>
      <c r="E47" s="528"/>
      <c r="F47" s="528"/>
      <c r="G47" s="528"/>
      <c r="H47" s="528"/>
      <c r="I47" s="528"/>
      <c r="J47" s="528"/>
      <c r="K47" s="528"/>
      <c r="L47" s="528"/>
      <c r="M47" s="528"/>
      <c r="N47" s="528"/>
      <c r="O47" s="528"/>
      <c r="P47" s="529"/>
      <c r="Q47" s="518"/>
      <c r="R47" s="518"/>
      <c r="S47" s="518"/>
      <c r="T47" s="485">
        <v>25</v>
      </c>
      <c r="U47" s="485"/>
      <c r="V47" s="485"/>
      <c r="W47" s="485"/>
      <c r="X47" s="485"/>
      <c r="Y47" s="24"/>
      <c r="Z47" s="24"/>
      <c r="AA47" s="24"/>
      <c r="AB47" s="24"/>
      <c r="AC47" s="24"/>
      <c r="AD47" s="24"/>
      <c r="AE47" s="24"/>
      <c r="AF47" s="1"/>
      <c r="AG47" s="1"/>
      <c r="AH47" s="1"/>
      <c r="AI47" s="1"/>
      <c r="AJ47" s="1"/>
      <c r="AK47" s="1"/>
    </row>
    <row r="48" spans="1:37" ht="20.45" customHeight="1">
      <c r="A48" s="1"/>
      <c r="B48" s="38"/>
      <c r="C48" s="38"/>
      <c r="D48" s="530" t="s">
        <v>55</v>
      </c>
      <c r="E48" s="530"/>
      <c r="F48" s="530"/>
      <c r="G48" s="486" t="s">
        <v>53</v>
      </c>
      <c r="H48" s="486"/>
      <c r="I48" s="486"/>
      <c r="J48" s="486"/>
      <c r="K48" s="486"/>
      <c r="L48" s="486"/>
      <c r="M48" s="486"/>
      <c r="N48" s="486"/>
      <c r="O48" s="486"/>
      <c r="P48" s="486"/>
      <c r="Q48" s="484"/>
      <c r="R48" s="484"/>
      <c r="S48" s="484"/>
      <c r="T48" s="485"/>
      <c r="U48" s="485"/>
      <c r="V48" s="485"/>
      <c r="W48" s="485"/>
      <c r="X48" s="485"/>
      <c r="Y48" s="24"/>
      <c r="Z48" s="24"/>
      <c r="AA48" s="24"/>
      <c r="AB48" s="24"/>
      <c r="AC48" s="24"/>
      <c r="AD48" s="24"/>
      <c r="AE48" s="24"/>
      <c r="AF48" s="1"/>
      <c r="AG48" s="1"/>
      <c r="AH48" s="1"/>
      <c r="AI48" s="1"/>
      <c r="AJ48" s="1"/>
      <c r="AK48" s="1"/>
    </row>
    <row r="49" spans="1:37" ht="20.45" customHeight="1">
      <c r="A49" s="1"/>
      <c r="B49" s="38"/>
      <c r="C49" s="38"/>
      <c r="D49" s="530"/>
      <c r="E49" s="530"/>
      <c r="F49" s="530"/>
      <c r="G49" s="486" t="s">
        <v>54</v>
      </c>
      <c r="H49" s="486"/>
      <c r="I49" s="486"/>
      <c r="J49" s="486"/>
      <c r="K49" s="486"/>
      <c r="L49" s="486"/>
      <c r="M49" s="486"/>
      <c r="N49" s="486"/>
      <c r="O49" s="486"/>
      <c r="P49" s="486"/>
      <c r="Q49" s="526"/>
      <c r="R49" s="526"/>
      <c r="S49" s="526"/>
      <c r="T49" s="485"/>
      <c r="U49" s="485"/>
      <c r="V49" s="485"/>
      <c r="W49" s="485"/>
      <c r="X49" s="485"/>
      <c r="Y49" s="24"/>
      <c r="Z49" s="24"/>
      <c r="AA49" s="24"/>
      <c r="AB49" s="24"/>
      <c r="AC49" s="24"/>
      <c r="AD49" s="24"/>
      <c r="AE49" s="24"/>
      <c r="AF49" s="1"/>
      <c r="AG49" s="1"/>
      <c r="AH49" s="1"/>
      <c r="AI49" s="1"/>
      <c r="AJ49" s="1"/>
      <c r="AK49" s="1"/>
    </row>
    <row r="50" spans="1:37" ht="15" customHeight="1">
      <c r="A50" s="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24"/>
      <c r="X50" s="49"/>
      <c r="Y50" s="49"/>
      <c r="Z50" s="49"/>
      <c r="AA50" s="49"/>
      <c r="AB50" s="49"/>
      <c r="AC50" s="49"/>
      <c r="AD50" s="49"/>
      <c r="AE50" s="49"/>
      <c r="AF50" s="1"/>
      <c r="AG50" s="1"/>
      <c r="AH50" s="1"/>
      <c r="AI50" s="1"/>
      <c r="AJ50" s="1"/>
      <c r="AK50" s="1"/>
    </row>
    <row r="51" spans="1:37" ht="19.5" hidden="1" customHeight="1">
      <c r="A51" s="1"/>
      <c r="B51" s="24"/>
      <c r="C51" s="24"/>
      <c r="D51" s="24"/>
      <c r="E51" s="24"/>
      <c r="F51" s="42"/>
      <c r="G51" s="50"/>
      <c r="H51" s="50"/>
      <c r="I51" s="50"/>
      <c r="J51" s="50"/>
      <c r="K51" s="50"/>
      <c r="L51" s="24"/>
      <c r="M51" s="38"/>
      <c r="N51" s="38"/>
      <c r="O51" s="38"/>
      <c r="P51" s="38"/>
      <c r="Q51" s="51"/>
      <c r="R51" s="51"/>
      <c r="S51" s="12"/>
      <c r="T51" s="12"/>
      <c r="U51" s="12"/>
      <c r="V51" s="12"/>
      <c r="W51" s="24"/>
      <c r="X51" s="38"/>
      <c r="Y51" s="38"/>
      <c r="Z51" s="38"/>
      <c r="AA51" s="38"/>
      <c r="AB51" s="38"/>
      <c r="AC51" s="39"/>
      <c r="AD51" s="39"/>
      <c r="AE51" s="39"/>
      <c r="AF51" s="1"/>
      <c r="AG51" s="1"/>
      <c r="AH51" s="1"/>
      <c r="AI51" s="1"/>
      <c r="AJ51" s="1"/>
      <c r="AK51" s="1"/>
    </row>
    <row r="52" spans="1:37" ht="19.5" hidden="1" customHeight="1">
      <c r="A52" s="1"/>
      <c r="B52" s="52"/>
      <c r="C52" s="52"/>
      <c r="D52" s="24"/>
      <c r="E52" s="24"/>
      <c r="F52" s="34"/>
      <c r="G52" s="12"/>
      <c r="H52" s="12"/>
      <c r="I52" s="12"/>
      <c r="J52" s="12"/>
      <c r="K52" s="12"/>
      <c r="L52" s="24"/>
      <c r="M52" s="38"/>
      <c r="N52" s="38"/>
      <c r="O52" s="38"/>
      <c r="P52" s="38"/>
      <c r="Q52" s="51"/>
      <c r="R52" s="51"/>
      <c r="S52" s="12"/>
      <c r="T52" s="12"/>
      <c r="U52" s="12"/>
      <c r="V52" s="12"/>
      <c r="W52" s="24"/>
      <c r="X52" s="38"/>
      <c r="Y52" s="38"/>
      <c r="Z52" s="38"/>
      <c r="AA52" s="38"/>
      <c r="AB52" s="38"/>
      <c r="AC52" s="39"/>
      <c r="AD52" s="39"/>
      <c r="AE52" s="39"/>
      <c r="AF52" s="1"/>
      <c r="AG52" s="1"/>
      <c r="AH52" s="1"/>
      <c r="AI52" s="1"/>
      <c r="AJ52" s="1"/>
      <c r="AK52" s="1"/>
    </row>
    <row r="53" spans="1:37" ht="19.5" hidden="1" customHeight="1">
      <c r="A53" s="1"/>
      <c r="B53" s="52"/>
      <c r="C53" s="52"/>
      <c r="D53" s="24"/>
      <c r="E53" s="24"/>
      <c r="F53" s="34"/>
      <c r="G53" s="12"/>
      <c r="H53" s="12"/>
      <c r="I53" s="12"/>
      <c r="J53" s="12"/>
      <c r="K53" s="12"/>
      <c r="L53" s="24"/>
      <c r="M53" s="38"/>
      <c r="N53" s="38"/>
      <c r="O53" s="38"/>
      <c r="P53" s="38"/>
      <c r="Q53" s="50"/>
      <c r="R53" s="50"/>
      <c r="S53" s="53"/>
      <c r="T53" s="53"/>
      <c r="U53" s="53"/>
      <c r="V53" s="53"/>
      <c r="W53" s="24"/>
      <c r="X53" s="38"/>
      <c r="Y53" s="38"/>
      <c r="Z53" s="38"/>
      <c r="AA53" s="38"/>
      <c r="AB53" s="38"/>
      <c r="AC53" s="39"/>
      <c r="AD53" s="39"/>
      <c r="AE53" s="39"/>
      <c r="AF53" s="1"/>
      <c r="AG53" s="1"/>
      <c r="AH53" s="1"/>
      <c r="AI53" s="1"/>
      <c r="AJ53" s="1"/>
      <c r="AK53" s="1"/>
    </row>
    <row r="54" spans="1:37" ht="19.5" hidden="1" customHeight="1">
      <c r="A54" s="1"/>
      <c r="B54" s="52"/>
      <c r="C54" s="52"/>
      <c r="D54" s="24"/>
      <c r="E54" s="24"/>
      <c r="F54" s="34"/>
      <c r="G54" s="12"/>
      <c r="H54" s="12"/>
      <c r="I54" s="12"/>
      <c r="J54" s="12"/>
      <c r="K54" s="12"/>
      <c r="L54" s="24"/>
      <c r="M54" s="38"/>
      <c r="N54" s="38"/>
      <c r="O54" s="38"/>
      <c r="P54" s="38"/>
      <c r="Q54" s="50"/>
      <c r="R54" s="50"/>
      <c r="S54" s="53"/>
      <c r="T54" s="53"/>
      <c r="U54" s="53"/>
      <c r="V54" s="53"/>
      <c r="W54" s="24"/>
      <c r="X54" s="38"/>
      <c r="Y54" s="38"/>
      <c r="Z54" s="38"/>
      <c r="AA54" s="38"/>
      <c r="AB54" s="38"/>
      <c r="AC54" s="39"/>
      <c r="AD54" s="39"/>
      <c r="AE54" s="39"/>
      <c r="AF54" s="1"/>
      <c r="AG54" s="1"/>
      <c r="AH54" s="1"/>
      <c r="AI54" s="1"/>
      <c r="AJ54" s="1"/>
      <c r="AK54" s="1"/>
    </row>
    <row r="55" spans="1:37" ht="19.5" hidden="1" customHeight="1">
      <c r="A55" s="1"/>
      <c r="B55" s="24"/>
      <c r="C55" s="24"/>
      <c r="D55" s="24"/>
      <c r="E55" s="24"/>
      <c r="F55" s="34"/>
      <c r="G55" s="12"/>
      <c r="H55" s="12"/>
      <c r="I55" s="12"/>
      <c r="J55" s="12"/>
      <c r="K55" s="12"/>
      <c r="L55" s="24"/>
      <c r="M55" s="38"/>
      <c r="N55" s="38"/>
      <c r="O55" s="38"/>
      <c r="P55" s="38"/>
      <c r="Q55" s="50"/>
      <c r="R55" s="50"/>
      <c r="S55" s="12"/>
      <c r="T55" s="12"/>
      <c r="U55" s="12"/>
      <c r="V55" s="12"/>
      <c r="W55" s="24"/>
      <c r="X55" s="38"/>
      <c r="Y55" s="38"/>
      <c r="Z55" s="38"/>
      <c r="AA55" s="38"/>
      <c r="AB55" s="38"/>
      <c r="AC55" s="39"/>
      <c r="AD55" s="39"/>
      <c r="AE55" s="39"/>
      <c r="AF55" s="1"/>
      <c r="AG55" s="1"/>
      <c r="AH55" s="1"/>
      <c r="AI55" s="1"/>
      <c r="AJ55" s="1"/>
      <c r="AK55" s="1"/>
    </row>
    <row r="56" spans="1:37" ht="7.5" hidden="1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"/>
      <c r="AG56" s="1"/>
      <c r="AH56" s="1"/>
      <c r="AI56" s="1"/>
      <c r="AJ56" s="1"/>
      <c r="AK56" s="1"/>
    </row>
    <row r="57" spans="1:37" ht="23.45" customHeight="1">
      <c r="A57" s="1"/>
      <c r="B57" s="516" t="s">
        <v>10</v>
      </c>
      <c r="C57" s="517"/>
      <c r="D57" s="517"/>
      <c r="E57" s="517"/>
      <c r="F57" s="517"/>
      <c r="G57" s="517"/>
      <c r="H57" s="517"/>
      <c r="I57" s="517"/>
      <c r="J57" s="517"/>
      <c r="K57" s="517"/>
      <c r="L57" s="16"/>
      <c r="M57" s="16"/>
      <c r="N57" s="16"/>
      <c r="O57" s="16"/>
      <c r="P57" s="16"/>
      <c r="Q57" s="16"/>
      <c r="R57" s="16"/>
      <c r="S57" s="5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1"/>
      <c r="AF57" s="1"/>
      <c r="AG57" s="1"/>
      <c r="AH57" s="1"/>
      <c r="AI57" s="1"/>
      <c r="AJ57" s="1"/>
      <c r="AK57" s="1"/>
    </row>
    <row r="58" spans="1:37" ht="23.45" customHeight="1">
      <c r="A58" s="1"/>
      <c r="B58" s="578" t="s">
        <v>475</v>
      </c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79"/>
      <c r="P58" s="579"/>
      <c r="Q58" s="579"/>
      <c r="R58" s="579"/>
      <c r="S58" s="579"/>
      <c r="T58" s="579"/>
      <c r="U58" s="579"/>
      <c r="V58" s="579"/>
      <c r="W58" s="579"/>
      <c r="X58" s="579"/>
      <c r="Y58" s="579"/>
      <c r="Z58" s="579"/>
      <c r="AA58" s="579"/>
      <c r="AB58" s="579"/>
      <c r="AC58" s="579"/>
      <c r="AD58" s="579"/>
      <c r="AE58" s="580"/>
      <c r="AF58" s="1"/>
      <c r="AG58" s="1"/>
      <c r="AH58" s="1"/>
      <c r="AI58" s="1"/>
      <c r="AJ58" s="1"/>
      <c r="AK58" s="1"/>
    </row>
    <row r="59" spans="1:37" ht="23.45" customHeight="1">
      <c r="A59" s="1"/>
      <c r="B59" s="578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79"/>
      <c r="P59" s="579"/>
      <c r="Q59" s="579"/>
      <c r="R59" s="579"/>
      <c r="S59" s="579"/>
      <c r="T59" s="579"/>
      <c r="U59" s="579"/>
      <c r="V59" s="579"/>
      <c r="W59" s="579"/>
      <c r="X59" s="579"/>
      <c r="Y59" s="579"/>
      <c r="Z59" s="579"/>
      <c r="AA59" s="579"/>
      <c r="AB59" s="579"/>
      <c r="AC59" s="579"/>
      <c r="AD59" s="579"/>
      <c r="AE59" s="580"/>
      <c r="AF59" s="1"/>
      <c r="AG59" s="1"/>
      <c r="AH59" s="1"/>
      <c r="AI59" s="1"/>
      <c r="AJ59" s="1"/>
      <c r="AK59" s="1"/>
    </row>
    <row r="60" spans="1:37" ht="23.45" customHeight="1">
      <c r="A60" s="1"/>
      <c r="B60" s="581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82"/>
      <c r="AB60" s="582"/>
      <c r="AC60" s="582"/>
      <c r="AD60" s="582"/>
      <c r="AE60" s="583"/>
      <c r="AF60" s="1"/>
      <c r="AG60" s="1"/>
      <c r="AH60" s="1"/>
      <c r="AI60" s="1"/>
      <c r="AJ60" s="1"/>
      <c r="AK60" s="1"/>
    </row>
    <row r="61" spans="1:37" ht="15" customHeight="1">
      <c r="A61" s="1"/>
      <c r="B61" s="41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41"/>
      <c r="AF61" s="1"/>
      <c r="AG61" s="1"/>
      <c r="AH61" s="1"/>
      <c r="AI61" s="1"/>
      <c r="AJ61" s="1"/>
      <c r="AK61" s="1"/>
    </row>
    <row r="62" spans="1:37" ht="17.45" customHeight="1">
      <c r="A62" s="1"/>
      <c r="B62" s="18"/>
      <c r="C62" s="525" t="s">
        <v>11</v>
      </c>
      <c r="D62" s="525"/>
      <c r="E62" s="525"/>
      <c r="F62" s="22"/>
      <c r="G62" s="21"/>
      <c r="H62" s="20"/>
      <c r="I62" s="525" t="s">
        <v>12</v>
      </c>
      <c r="J62" s="525"/>
      <c r="K62" s="525"/>
      <c r="L62" s="525"/>
      <c r="M62" s="525"/>
      <c r="N62" s="525"/>
      <c r="O62" s="525"/>
      <c r="P62" s="525"/>
      <c r="Q62" s="525"/>
      <c r="R62" s="20"/>
      <c r="S62" s="531" t="s">
        <v>450</v>
      </c>
      <c r="T62" s="532"/>
      <c r="U62" s="532"/>
      <c r="V62" s="532"/>
      <c r="W62" s="532"/>
      <c r="X62" s="532"/>
      <c r="Y62" s="532"/>
      <c r="Z62" s="532"/>
      <c r="AA62" s="532"/>
      <c r="AB62" s="532"/>
      <c r="AC62" s="532"/>
      <c r="AD62" s="532"/>
      <c r="AE62" s="533"/>
      <c r="AF62" s="1"/>
      <c r="AG62" s="1"/>
      <c r="AH62" s="1"/>
      <c r="AI62" s="1"/>
      <c r="AJ62" s="1"/>
      <c r="AK62" s="1"/>
    </row>
    <row r="63" spans="1:37" ht="51" customHeight="1">
      <c r="A63" s="1"/>
      <c r="B63" s="25"/>
      <c r="C63" s="24"/>
      <c r="D63" s="24"/>
      <c r="E63" s="24"/>
      <c r="F63" s="27"/>
      <c r="G63" s="26"/>
      <c r="H63" s="24"/>
      <c r="I63" s="24"/>
      <c r="J63" s="24"/>
      <c r="K63" s="24"/>
      <c r="L63" s="24"/>
      <c r="M63" s="24"/>
      <c r="N63" s="19"/>
      <c r="O63" s="19"/>
      <c r="P63" s="19"/>
      <c r="Q63" s="17"/>
      <c r="R63" s="17"/>
      <c r="S63" s="2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9"/>
      <c r="AE63" s="6"/>
      <c r="AF63" s="1"/>
      <c r="AG63" s="1"/>
      <c r="AH63" s="1"/>
      <c r="AI63" s="1"/>
      <c r="AJ63" s="1"/>
      <c r="AK63" s="1"/>
    </row>
    <row r="64" spans="1:37" ht="22.9" customHeight="1">
      <c r="A64" s="1"/>
      <c r="B64" s="513" t="s">
        <v>447</v>
      </c>
      <c r="C64" s="514"/>
      <c r="D64" s="514"/>
      <c r="E64" s="514"/>
      <c r="F64" s="515"/>
      <c r="G64" s="513" t="s">
        <v>448</v>
      </c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5"/>
      <c r="S64" s="534" t="s">
        <v>449</v>
      </c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6"/>
      <c r="AF64" s="1"/>
      <c r="AG64" s="1"/>
      <c r="AH64" s="1"/>
      <c r="AI64" s="1"/>
      <c r="AJ64" s="1"/>
      <c r="AK64" s="1"/>
    </row>
    <row r="65" spans="1:37" ht="6.6" customHeight="1">
      <c r="A65" s="1"/>
      <c r="B65" s="13"/>
      <c r="C65" s="28"/>
      <c r="D65" s="28"/>
      <c r="E65" s="28"/>
      <c r="F65" s="30"/>
      <c r="G65" s="29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9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9"/>
      <c r="AF65" s="1"/>
      <c r="AG65" s="1"/>
      <c r="AH65" s="1"/>
      <c r="AI65" s="1"/>
      <c r="AJ65" s="1"/>
      <c r="AK65" s="1"/>
    </row>
    <row r="66" spans="1:37" ht="16.149999999999999" customHeight="1">
      <c r="A66" s="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512" t="s">
        <v>13</v>
      </c>
      <c r="AB66" s="512"/>
      <c r="AC66" s="512"/>
      <c r="AD66" s="512"/>
      <c r="AE66" s="512"/>
      <c r="AF66" s="1"/>
      <c r="AG66" s="1"/>
      <c r="AH66" s="1"/>
      <c r="AI66" s="1"/>
      <c r="AJ66" s="1"/>
      <c r="AK66" s="1"/>
    </row>
    <row r="67" spans="1:37" ht="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</sheetData>
  <mergeCells count="108">
    <mergeCell ref="AA4:AD5"/>
    <mergeCell ref="B6:AE6"/>
    <mergeCell ref="B7:AF7"/>
    <mergeCell ref="B9:D13"/>
    <mergeCell ref="E9:R13"/>
    <mergeCell ref="U10:AD10"/>
    <mergeCell ref="X11:AD11"/>
    <mergeCell ref="V12:AD12"/>
    <mergeCell ref="B15:C18"/>
    <mergeCell ref="D15:F15"/>
    <mergeCell ref="G15:V15"/>
    <mergeCell ref="AB15:AD15"/>
    <mergeCell ref="D16:I16"/>
    <mergeCell ref="J16:AD16"/>
    <mergeCell ref="D17:H17"/>
    <mergeCell ref="I17:AD17"/>
    <mergeCell ref="D18:O18"/>
    <mergeCell ref="P18:AE18"/>
    <mergeCell ref="F24:K24"/>
    <mergeCell ref="G25:K25"/>
    <mergeCell ref="B26:C26"/>
    <mergeCell ref="D26:E26"/>
    <mergeCell ref="G26:K26"/>
    <mergeCell ref="B27:C27"/>
    <mergeCell ref="D27:E27"/>
    <mergeCell ref="G27:K27"/>
    <mergeCell ref="B20:AE20"/>
    <mergeCell ref="B21:E22"/>
    <mergeCell ref="F21:K21"/>
    <mergeCell ref="N21:AD21"/>
    <mergeCell ref="F22:K22"/>
    <mergeCell ref="M22:M39"/>
    <mergeCell ref="B23:E23"/>
    <mergeCell ref="F23:K23"/>
    <mergeCell ref="B24:C25"/>
    <mergeCell ref="D24:E25"/>
    <mergeCell ref="B30:C30"/>
    <mergeCell ref="D30:E30"/>
    <mergeCell ref="G30:K30"/>
    <mergeCell ref="B31:C31"/>
    <mergeCell ref="D31:E31"/>
    <mergeCell ref="G31:K31"/>
    <mergeCell ref="B28:C28"/>
    <mergeCell ref="D28:E28"/>
    <mergeCell ref="G28:K28"/>
    <mergeCell ref="B29:C29"/>
    <mergeCell ref="D29:E29"/>
    <mergeCell ref="G29:K29"/>
    <mergeCell ref="B34:C34"/>
    <mergeCell ref="D34:E34"/>
    <mergeCell ref="G34:K34"/>
    <mergeCell ref="B35:C35"/>
    <mergeCell ref="D35:E35"/>
    <mergeCell ref="G35:K35"/>
    <mergeCell ref="B32:C32"/>
    <mergeCell ref="D32:E32"/>
    <mergeCell ref="G32:K32"/>
    <mergeCell ref="B33:C33"/>
    <mergeCell ref="D33:E33"/>
    <mergeCell ref="G33:K33"/>
    <mergeCell ref="B38:C38"/>
    <mergeCell ref="D38:E38"/>
    <mergeCell ref="G38:K38"/>
    <mergeCell ref="B39:C39"/>
    <mergeCell ref="D39:E39"/>
    <mergeCell ref="G39:K39"/>
    <mergeCell ref="B36:C36"/>
    <mergeCell ref="D36:E36"/>
    <mergeCell ref="G36:K36"/>
    <mergeCell ref="B37:C37"/>
    <mergeCell ref="D37:E37"/>
    <mergeCell ref="G37:K37"/>
    <mergeCell ref="D44:P44"/>
    <mergeCell ref="Q44:S44"/>
    <mergeCell ref="T44:X44"/>
    <mergeCell ref="D45:P45"/>
    <mergeCell ref="Q45:S45"/>
    <mergeCell ref="T45:X45"/>
    <mergeCell ref="P39:AC39"/>
    <mergeCell ref="D41:X41"/>
    <mergeCell ref="D42:P42"/>
    <mergeCell ref="Q42:S42"/>
    <mergeCell ref="T42:X42"/>
    <mergeCell ref="D43:P43"/>
    <mergeCell ref="Q43:S43"/>
    <mergeCell ref="T43:X43"/>
    <mergeCell ref="D48:F49"/>
    <mergeCell ref="G48:P48"/>
    <mergeCell ref="Q48:S48"/>
    <mergeCell ref="T48:X48"/>
    <mergeCell ref="G49:P49"/>
    <mergeCell ref="Q49:S49"/>
    <mergeCell ref="T49:X49"/>
    <mergeCell ref="D46:P46"/>
    <mergeCell ref="Q46:S46"/>
    <mergeCell ref="T46:X46"/>
    <mergeCell ref="D47:P47"/>
    <mergeCell ref="Q47:S47"/>
    <mergeCell ref="T47:X47"/>
    <mergeCell ref="AA66:AE66"/>
    <mergeCell ref="B57:K57"/>
    <mergeCell ref="B58:AE60"/>
    <mergeCell ref="C62:E62"/>
    <mergeCell ref="I62:Q62"/>
    <mergeCell ref="B64:F64"/>
    <mergeCell ref="S62:AE62"/>
    <mergeCell ref="G64:R64"/>
    <mergeCell ref="S64:AE64"/>
  </mergeCells>
  <printOptions horizontalCentered="1" verticalCentered="1"/>
  <pageMargins left="0.25" right="0.26" top="0.19685039370078741" bottom="0.19685039370078741" header="0" footer="0"/>
  <pageSetup scale="54" orientation="portrait" r:id="rId1"/>
  <headerFooter alignWithMargins="0"/>
  <colBreaks count="1" manualBreakCount="1">
    <brk id="3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CALCULO SELLO CALIZO</vt:lpstr>
      <vt:lpstr>CALCULO SELLO RELOTICO</vt:lpstr>
      <vt:lpstr>CALCULO POLVILLO ARENAS</vt:lpstr>
      <vt:lpstr>CALCULO TEORICO MEZCLA</vt:lpstr>
      <vt:lpstr>CALCULO MEZCLA FISICA</vt:lpstr>
      <vt:lpstr>INFORME PETREO SELLO CALIZO</vt:lpstr>
      <vt:lpstr>INFORME PETREO SELLO REOLITICO</vt:lpstr>
      <vt:lpstr>INFORME PETREO POLVILLO ARENAS</vt:lpstr>
      <vt:lpstr>INFORME PETREO TEORICO</vt:lpstr>
      <vt:lpstr>INFORME PETREO FISICO</vt:lpstr>
      <vt:lpstr>INFORME ASFALTO</vt:lpstr>
      <vt:lpstr>VISCOSIDAD</vt:lpstr>
      <vt:lpstr>DENSIDAD INGENIEROS</vt:lpstr>
      <vt:lpstr>CALCULO MARSHALL</vt:lpstr>
      <vt:lpstr>RESUMEN MARSHALL</vt:lpstr>
      <vt:lpstr>INFORME MARSHALL</vt:lpstr>
      <vt:lpstr>INFORME MEZCLA COMPROBACION</vt:lpstr>
      <vt:lpstr>'DENSIDAD INGENIEROS'!Área_de_impresión</vt:lpstr>
      <vt:lpstr>'INFORME ASFALTO'!Área_de_impresión</vt:lpstr>
      <vt:lpstr>'INFORME MARSHALL'!Área_de_impresión</vt:lpstr>
      <vt:lpstr>'INFORME MEZCLA COMPROBACION'!Área_de_impresión</vt:lpstr>
      <vt:lpstr>'INFORME PETREO FISICO'!Área_de_impresión</vt:lpstr>
      <vt:lpstr>'INFORME PETREO POLVILLO ARENAS'!Área_de_impresión</vt:lpstr>
      <vt:lpstr>'INFORME PETREO SELLO CALIZO'!Área_de_impresión</vt:lpstr>
      <vt:lpstr>'INFORME PETREO SELLO REOLITICO'!Área_de_impresión</vt:lpstr>
      <vt:lpstr>'INFORME PETREO TEORICO'!Área_de_impresión</vt:lpstr>
      <vt:lpstr>'RESUMEN MARSHALL'!Área_de_impresión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Jose LuisTamayo</dc:creator>
  <cp:lastModifiedBy>Tecnica 2</cp:lastModifiedBy>
  <cp:lastPrinted>2015-12-07T21:11:48Z</cp:lastPrinted>
  <dcterms:created xsi:type="dcterms:W3CDTF">2010-02-11T23:22:45Z</dcterms:created>
  <dcterms:modified xsi:type="dcterms:W3CDTF">2015-12-07T21:35:26Z</dcterms:modified>
</cp:coreProperties>
</file>