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ryan\Documents\GitHub\Stats-App\"/>
    </mc:Choice>
  </mc:AlternateContent>
  <xr:revisionPtr revIDLastSave="0" documentId="13_ncr:1_{76512ADA-CAC7-494B-A3E2-D5462C2625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structions" sheetId="1" r:id="rId1"/>
    <sheet name="Input Summary" sheetId="2" state="hidden" r:id="rId2"/>
    <sheet name="Development by Block" sheetId="3" r:id="rId3"/>
    <sheet name="Use Allocation" sheetId="4" r:id="rId4"/>
    <sheet name="Costs" sheetId="5" r:id="rId5"/>
    <sheet name="Jobs" sheetId="6" r:id="rId6"/>
    <sheet name="Market" sheetId="7" r:id="rId7"/>
    <sheet name="Value" sheetId="8" r:id="rId8"/>
    <sheet name="City Revenue" sheetId="9" r:id="rId9"/>
    <sheet name="Summary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gXXUnyJetHk+CCi3bkJcRgMKjCAg=="/>
    </ext>
  </extLst>
</workbook>
</file>

<file path=xl/calcChain.xml><?xml version="1.0" encoding="utf-8"?>
<calcChain xmlns="http://schemas.openxmlformats.org/spreadsheetml/2006/main">
  <c r="B58" i="10" l="1"/>
  <c r="B57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C35" i="10"/>
  <c r="C34" i="10"/>
  <c r="C33" i="10"/>
  <c r="F9" i="10"/>
  <c r="C6" i="10"/>
  <c r="H44" i="9"/>
  <c r="F18" i="10" s="1"/>
  <c r="H42" i="9"/>
  <c r="F17" i="10" s="1"/>
  <c r="J39" i="9"/>
  <c r="J38" i="9"/>
  <c r="J37" i="9"/>
  <c r="J36" i="9"/>
  <c r="J35" i="9"/>
  <c r="J34" i="9"/>
  <c r="J33" i="9"/>
  <c r="L29" i="9"/>
  <c r="J29" i="9"/>
  <c r="J28" i="9"/>
  <c r="J27" i="9"/>
  <c r="B27" i="9"/>
  <c r="E27" i="9" s="1"/>
  <c r="F27" i="9" s="1"/>
  <c r="H27" i="9" s="1"/>
  <c r="J26" i="9"/>
  <c r="H26" i="9"/>
  <c r="G26" i="9"/>
  <c r="B26" i="9"/>
  <c r="E26" i="9" s="1"/>
  <c r="F26" i="9" s="1"/>
  <c r="J25" i="9"/>
  <c r="B25" i="9"/>
  <c r="J24" i="9"/>
  <c r="D24" i="9"/>
  <c r="J23" i="9"/>
  <c r="J22" i="9"/>
  <c r="J21" i="9"/>
  <c r="J20" i="9"/>
  <c r="J19" i="9"/>
  <c r="K18" i="9"/>
  <c r="K25" i="9" s="1"/>
  <c r="K33" i="9" s="1"/>
  <c r="J18" i="9"/>
  <c r="B18" i="9"/>
  <c r="K17" i="9"/>
  <c r="J17" i="9"/>
  <c r="J16" i="9"/>
  <c r="D16" i="9"/>
  <c r="J15" i="9"/>
  <c r="K14" i="9"/>
  <c r="K15" i="9" s="1"/>
  <c r="K23" i="9" s="1"/>
  <c r="J14" i="9"/>
  <c r="K13" i="9"/>
  <c r="J13" i="9"/>
  <c r="D13" i="9"/>
  <c r="L12" i="9"/>
  <c r="L18" i="9" s="1"/>
  <c r="L25" i="9" s="1"/>
  <c r="L33" i="9" s="1"/>
  <c r="K12" i="9"/>
  <c r="J11" i="9"/>
  <c r="D11" i="9"/>
  <c r="J10" i="9"/>
  <c r="D10" i="9"/>
  <c r="J9" i="9"/>
  <c r="J8" i="9"/>
  <c r="J7" i="9"/>
  <c r="J6" i="9"/>
  <c r="D6" i="9"/>
  <c r="J5" i="9"/>
  <c r="J4" i="9"/>
  <c r="L42" i="8"/>
  <c r="F34" i="8"/>
  <c r="A34" i="8"/>
  <c r="B33" i="8"/>
  <c r="O32" i="8"/>
  <c r="O31" i="8"/>
  <c r="O30" i="8"/>
  <c r="O29" i="8"/>
  <c r="B29" i="8"/>
  <c r="O28" i="8"/>
  <c r="D28" i="8"/>
  <c r="D28" i="9" s="1"/>
  <c r="O27" i="8"/>
  <c r="D27" i="8"/>
  <c r="D27" i="9" s="1"/>
  <c r="B27" i="8"/>
  <c r="F27" i="8" s="1"/>
  <c r="O26" i="8"/>
  <c r="D26" i="8"/>
  <c r="D26" i="9" s="1"/>
  <c r="O25" i="8"/>
  <c r="B25" i="8"/>
  <c r="O24" i="8"/>
  <c r="D24" i="8"/>
  <c r="O23" i="8"/>
  <c r="D23" i="8"/>
  <c r="D23" i="9" s="1"/>
  <c r="O22" i="8"/>
  <c r="D22" i="8"/>
  <c r="D22" i="9" s="1"/>
  <c r="O21" i="8"/>
  <c r="D21" i="8"/>
  <c r="D21" i="9" s="1"/>
  <c r="O20" i="8"/>
  <c r="D20" i="8"/>
  <c r="D20" i="9" s="1"/>
  <c r="E20" i="9" s="1"/>
  <c r="F20" i="9" s="1"/>
  <c r="H20" i="9" s="1"/>
  <c r="B20" i="8"/>
  <c r="F20" i="8" s="1"/>
  <c r="O19" i="8"/>
  <c r="D19" i="8"/>
  <c r="D19" i="9" s="1"/>
  <c r="O18" i="8"/>
  <c r="B18" i="8"/>
  <c r="O17" i="8"/>
  <c r="D17" i="8"/>
  <c r="D17" i="9" s="1"/>
  <c r="O16" i="8"/>
  <c r="D16" i="8"/>
  <c r="O15" i="8"/>
  <c r="D15" i="8"/>
  <c r="D15" i="9" s="1"/>
  <c r="O14" i="8"/>
  <c r="D14" i="8"/>
  <c r="D14" i="9" s="1"/>
  <c r="O13" i="8"/>
  <c r="D13" i="8"/>
  <c r="O12" i="8"/>
  <c r="O11" i="8"/>
  <c r="O10" i="8"/>
  <c r="O9" i="8"/>
  <c r="D9" i="8"/>
  <c r="D9" i="9" s="1"/>
  <c r="O8" i="8"/>
  <c r="D8" i="8"/>
  <c r="D8" i="9" s="1"/>
  <c r="P7" i="8"/>
  <c r="O7" i="8"/>
  <c r="O6" i="8"/>
  <c r="D6" i="8"/>
  <c r="O5" i="8"/>
  <c r="D5" i="8"/>
  <c r="D5" i="9" s="1"/>
  <c r="O4" i="8"/>
  <c r="B34" i="7"/>
  <c r="B33" i="7"/>
  <c r="B29" i="7"/>
  <c r="B25" i="7"/>
  <c r="D24" i="7"/>
  <c r="D23" i="7"/>
  <c r="B18" i="7"/>
  <c r="B13" i="7"/>
  <c r="B12" i="7"/>
  <c r="E19" i="6"/>
  <c r="B19" i="6"/>
  <c r="E18" i="6"/>
  <c r="B18" i="6"/>
  <c r="B13" i="6"/>
  <c r="E13" i="6" s="1"/>
  <c r="E12" i="6"/>
  <c r="B12" i="6"/>
  <c r="B6" i="6"/>
  <c r="E6" i="6" s="1"/>
  <c r="B5" i="6"/>
  <c r="E5" i="6" s="1"/>
  <c r="B36" i="5"/>
  <c r="B34" i="9" s="1"/>
  <c r="B35" i="5"/>
  <c r="B33" i="9" s="1"/>
  <c r="B29" i="5"/>
  <c r="B29" i="9" s="1"/>
  <c r="E28" i="5"/>
  <c r="B28" i="5"/>
  <c r="B27" i="5"/>
  <c r="E27" i="5" s="1"/>
  <c r="B26" i="5"/>
  <c r="B42" i="10" s="1"/>
  <c r="B21" i="5"/>
  <c r="B21" i="8" s="1"/>
  <c r="F21" i="8" s="1"/>
  <c r="B20" i="5"/>
  <c r="B20" i="9" s="1"/>
  <c r="B19" i="5"/>
  <c r="B14" i="5"/>
  <c r="C7" i="5"/>
  <c r="D7" i="8" s="1"/>
  <c r="D7" i="9" s="1"/>
  <c r="C5" i="5"/>
  <c r="D39" i="4"/>
  <c r="C39" i="4"/>
  <c r="B39" i="4"/>
  <c r="F38" i="4"/>
  <c r="B38" i="4"/>
  <c r="G37" i="4"/>
  <c r="F37" i="4"/>
  <c r="G36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D21" i="4"/>
  <c r="C21" i="4"/>
  <c r="G19" i="4"/>
  <c r="F19" i="4"/>
  <c r="G18" i="4"/>
  <c r="F18" i="4"/>
  <c r="F17" i="4"/>
  <c r="C14" i="4"/>
  <c r="B14" i="4"/>
  <c r="B13" i="5" s="1"/>
  <c r="B13" i="9" s="1"/>
  <c r="E13" i="9" s="1"/>
  <c r="F13" i="9" s="1"/>
  <c r="H13" i="9" s="1"/>
  <c r="G13" i="4"/>
  <c r="F13" i="4"/>
  <c r="E13" i="4"/>
  <c r="F11" i="4"/>
  <c r="E11" i="4"/>
  <c r="G10" i="4"/>
  <c r="G14" i="4" s="1"/>
  <c r="F6" i="4"/>
  <c r="D6" i="4"/>
  <c r="F5" i="4"/>
  <c r="D5" i="4"/>
  <c r="AD32" i="3"/>
  <c r="K30" i="3"/>
  <c r="AD30" i="3" s="1"/>
  <c r="G30" i="3"/>
  <c r="AA29" i="3"/>
  <c r="W29" i="3"/>
  <c r="S29" i="3"/>
  <c r="O29" i="3"/>
  <c r="K29" i="3"/>
  <c r="G29" i="3"/>
  <c r="AD29" i="3" s="1"/>
  <c r="AB28" i="3"/>
  <c r="K28" i="3"/>
  <c r="H28" i="3"/>
  <c r="L27" i="3"/>
  <c r="W26" i="3"/>
  <c r="T26" i="3"/>
  <c r="Z23" i="3"/>
  <c r="AA23" i="3" s="1"/>
  <c r="W23" i="3"/>
  <c r="V23" i="3"/>
  <c r="R23" i="3"/>
  <c r="S23" i="3" s="1"/>
  <c r="N23" i="3"/>
  <c r="O23" i="3" s="1"/>
  <c r="J23" i="3"/>
  <c r="K23" i="3" s="1"/>
  <c r="F23" i="3"/>
  <c r="G23" i="3" s="1"/>
  <c r="Z22" i="3"/>
  <c r="AA22" i="3" s="1"/>
  <c r="W22" i="3"/>
  <c r="V22" i="3"/>
  <c r="S22" i="3"/>
  <c r="R22" i="3"/>
  <c r="N22" i="3"/>
  <c r="O22" i="3" s="1"/>
  <c r="K22" i="3"/>
  <c r="AD22" i="3" s="1"/>
  <c r="J22" i="3"/>
  <c r="G22" i="3"/>
  <c r="F22" i="3"/>
  <c r="AC22" i="3" s="1"/>
  <c r="B31" i="5" s="1"/>
  <c r="Z21" i="3"/>
  <c r="AA21" i="3" s="1"/>
  <c r="V21" i="3"/>
  <c r="W21" i="3" s="1"/>
  <c r="S21" i="3"/>
  <c r="R21" i="3"/>
  <c r="N21" i="3"/>
  <c r="O21" i="3" s="1"/>
  <c r="K21" i="3"/>
  <c r="J21" i="3"/>
  <c r="F21" i="3"/>
  <c r="S19" i="3"/>
  <c r="AD19" i="3" s="1"/>
  <c r="R19" i="3"/>
  <c r="AD18" i="3"/>
  <c r="AC18" i="3"/>
  <c r="O18" i="3"/>
  <c r="AD17" i="3"/>
  <c r="K17" i="3"/>
  <c r="J17" i="3"/>
  <c r="AC17" i="3" s="1"/>
  <c r="K15" i="3"/>
  <c r="L15" i="3" s="1"/>
  <c r="L30" i="3" s="1"/>
  <c r="J15" i="3"/>
  <c r="F15" i="3"/>
  <c r="AC15" i="3" s="1"/>
  <c r="Z14" i="3"/>
  <c r="AA14" i="3" s="1"/>
  <c r="AB14" i="3" s="1"/>
  <c r="AB29" i="3" s="1"/>
  <c r="W14" i="3"/>
  <c r="X14" i="3" s="1"/>
  <c r="X29" i="3" s="1"/>
  <c r="V14" i="3"/>
  <c r="S14" i="3"/>
  <c r="T14" i="3" s="1"/>
  <c r="T29" i="3" s="1"/>
  <c r="R14" i="3"/>
  <c r="O14" i="3"/>
  <c r="P14" i="3" s="1"/>
  <c r="P29" i="3" s="1"/>
  <c r="N14" i="3"/>
  <c r="J14" i="3"/>
  <c r="K14" i="3" s="1"/>
  <c r="L14" i="3" s="1"/>
  <c r="L29" i="3" s="1"/>
  <c r="G14" i="3"/>
  <c r="H14" i="3" s="1"/>
  <c r="H29" i="3" s="1"/>
  <c r="F14" i="3"/>
  <c r="Z13" i="3"/>
  <c r="AA13" i="3" s="1"/>
  <c r="V13" i="3"/>
  <c r="W13" i="3" s="1"/>
  <c r="X13" i="3" s="1"/>
  <c r="X26" i="3" s="1"/>
  <c r="R13" i="3"/>
  <c r="S13" i="3" s="1"/>
  <c r="T13" i="3" s="1"/>
  <c r="N13" i="3"/>
  <c r="AC13" i="3" s="1"/>
  <c r="J13" i="3"/>
  <c r="K13" i="3" s="1"/>
  <c r="F13" i="3"/>
  <c r="G13" i="3" s="1"/>
  <c r="AG11" i="3"/>
  <c r="AG12" i="3" s="1"/>
  <c r="AG13" i="3" s="1"/>
  <c r="AG14" i="3" s="1"/>
  <c r="AG15" i="3" s="1"/>
  <c r="AG16" i="3" s="1"/>
  <c r="AB11" i="3"/>
  <c r="AA11" i="3"/>
  <c r="AA28" i="3" s="1"/>
  <c r="Z11" i="3"/>
  <c r="X11" i="3"/>
  <c r="X28" i="3" s="1"/>
  <c r="V11" i="3"/>
  <c r="W11" i="3" s="1"/>
  <c r="W28" i="3" s="1"/>
  <c r="T11" i="3"/>
  <c r="T28" i="3" s="1"/>
  <c r="S11" i="3"/>
  <c r="S28" i="3" s="1"/>
  <c r="R11" i="3"/>
  <c r="P11" i="3"/>
  <c r="P28" i="3" s="1"/>
  <c r="O11" i="3"/>
  <c r="O28" i="3" s="1"/>
  <c r="N11" i="3"/>
  <c r="L11" i="3"/>
  <c r="L28" i="3" s="1"/>
  <c r="AC28" i="3" s="1"/>
  <c r="K11" i="3"/>
  <c r="J11" i="3"/>
  <c r="H11" i="3"/>
  <c r="F11" i="3"/>
  <c r="AC11" i="3" s="1"/>
  <c r="AG10" i="3"/>
  <c r="Z10" i="3"/>
  <c r="AB10" i="3" s="1"/>
  <c r="W10" i="3"/>
  <c r="V10" i="3"/>
  <c r="X10" i="3" s="1"/>
  <c r="R10" i="3"/>
  <c r="T10" i="3" s="1"/>
  <c r="P10" i="3"/>
  <c r="O10" i="3"/>
  <c r="N10" i="3"/>
  <c r="AC10" i="3" s="1"/>
  <c r="J10" i="3"/>
  <c r="L10" i="3" s="1"/>
  <c r="G10" i="3"/>
  <c r="F10" i="3"/>
  <c r="H10" i="3" s="1"/>
  <c r="AG9" i="3"/>
  <c r="AC9" i="3"/>
  <c r="AB9" i="3"/>
  <c r="Z9" i="3"/>
  <c r="AA9" i="3" s="1"/>
  <c r="V9" i="3"/>
  <c r="X9" i="3" s="1"/>
  <c r="R9" i="3"/>
  <c r="P9" i="3"/>
  <c r="P27" i="3" s="1"/>
  <c r="N9" i="3"/>
  <c r="O9" i="3" s="1"/>
  <c r="O27" i="3" s="1"/>
  <c r="L9" i="3"/>
  <c r="J9" i="3"/>
  <c r="K9" i="3" s="1"/>
  <c r="F9" i="3"/>
  <c r="H9" i="3" s="1"/>
  <c r="H27" i="3" s="1"/>
  <c r="AF8" i="3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H7" i="3"/>
  <c r="AH8" i="3" s="1"/>
  <c r="AH9" i="3" s="1"/>
  <c r="AH10" i="3" s="1"/>
  <c r="AH11" i="3" s="1"/>
  <c r="AH12" i="3" s="1"/>
  <c r="AH13" i="3" s="1"/>
  <c r="AH14" i="3" s="1"/>
  <c r="AH15" i="3" s="1"/>
  <c r="AG7" i="3"/>
  <c r="AG8" i="3" s="1"/>
  <c r="AF7" i="3"/>
  <c r="Z7" i="3"/>
  <c r="AA7" i="3" s="1"/>
  <c r="V7" i="3"/>
  <c r="W7" i="3" s="1"/>
  <c r="R7" i="3"/>
  <c r="S7" i="3" s="1"/>
  <c r="N7" i="3"/>
  <c r="O7" i="3" s="1"/>
  <c r="K7" i="3"/>
  <c r="J7" i="3"/>
  <c r="G7" i="3"/>
  <c r="F7" i="3"/>
  <c r="AC7" i="3" s="1"/>
  <c r="B11" i="5" s="1"/>
  <c r="AH6" i="3"/>
  <c r="AG6" i="3"/>
  <c r="AA6" i="3"/>
  <c r="Z6" i="3"/>
  <c r="AB6" i="3" s="1"/>
  <c r="X6" i="3"/>
  <c r="W6" i="3"/>
  <c r="V6" i="3"/>
  <c r="R6" i="3"/>
  <c r="T6" i="3" s="1"/>
  <c r="O6" i="3"/>
  <c r="N6" i="3"/>
  <c r="P6" i="3" s="1"/>
  <c r="J6" i="3"/>
  <c r="L6" i="3" s="1"/>
  <c r="H6" i="3"/>
  <c r="G6" i="3"/>
  <c r="F6" i="3"/>
  <c r="AG5" i="3"/>
  <c r="AF5" i="3"/>
  <c r="AF6" i="3" s="1"/>
  <c r="AB5" i="3"/>
  <c r="Z5" i="3"/>
  <c r="AA5" i="3" s="1"/>
  <c r="X5" i="3"/>
  <c r="W5" i="3"/>
  <c r="W25" i="3" s="1"/>
  <c r="V5" i="3"/>
  <c r="T5" i="3"/>
  <c r="S5" i="3"/>
  <c r="R5" i="3"/>
  <c r="P5" i="3"/>
  <c r="O5" i="3"/>
  <c r="N5" i="3"/>
  <c r="L5" i="3"/>
  <c r="J5" i="3"/>
  <c r="K5" i="3" s="1"/>
  <c r="F5" i="3"/>
  <c r="AC5" i="3" s="1"/>
  <c r="Z4" i="3"/>
  <c r="AB4" i="3" s="1"/>
  <c r="AB25" i="3" s="1"/>
  <c r="W4" i="3"/>
  <c r="V4" i="3"/>
  <c r="X4" i="3" s="1"/>
  <c r="X25" i="3" s="1"/>
  <c r="R4" i="3"/>
  <c r="T4" i="3" s="1"/>
  <c r="T25" i="3" s="1"/>
  <c r="P4" i="3"/>
  <c r="O4" i="3"/>
  <c r="O25" i="3" s="1"/>
  <c r="N4" i="3"/>
  <c r="J4" i="3"/>
  <c r="H4" i="3"/>
  <c r="G4" i="3"/>
  <c r="F4" i="3"/>
  <c r="C178" i="2"/>
  <c r="C177" i="2"/>
  <c r="C176" i="2"/>
  <c r="C175" i="2"/>
  <c r="C174" i="2"/>
  <c r="C169" i="2"/>
  <c r="C168" i="2"/>
  <c r="C167" i="2"/>
  <c r="C166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4" i="2"/>
  <c r="C143" i="2"/>
  <c r="C138" i="2"/>
  <c r="C137" i="2"/>
  <c r="C133" i="2"/>
  <c r="C132" i="2"/>
  <c r="C131" i="2"/>
  <c r="C124" i="2"/>
  <c r="C123" i="2"/>
  <c r="C121" i="2"/>
  <c r="C120" i="2"/>
  <c r="C119" i="2"/>
  <c r="C117" i="2"/>
  <c r="C116" i="2"/>
  <c r="C115" i="2"/>
  <c r="C114" i="2"/>
  <c r="C111" i="2"/>
  <c r="C110" i="2"/>
  <c r="C109" i="2"/>
  <c r="C102" i="2"/>
  <c r="C101" i="2"/>
  <c r="C99" i="2"/>
  <c r="C98" i="2"/>
  <c r="C97" i="2"/>
  <c r="C95" i="2"/>
  <c r="C94" i="2"/>
  <c r="C93" i="2"/>
  <c r="C92" i="2"/>
  <c r="C89" i="2"/>
  <c r="C88" i="2"/>
  <c r="C87" i="2"/>
  <c r="C85" i="2"/>
  <c r="C80" i="2"/>
  <c r="C79" i="2"/>
  <c r="C77" i="2"/>
  <c r="C76" i="2"/>
  <c r="C75" i="2"/>
  <c r="C73" i="2"/>
  <c r="C72" i="2"/>
  <c r="C71" i="2"/>
  <c r="C70" i="2"/>
  <c r="C67" i="2"/>
  <c r="C66" i="2"/>
  <c r="C65" i="2"/>
  <c r="C58" i="2"/>
  <c r="C57" i="2"/>
  <c r="C55" i="2"/>
  <c r="C54" i="2"/>
  <c r="C53" i="2"/>
  <c r="C51" i="2"/>
  <c r="C50" i="2"/>
  <c r="C49" i="2"/>
  <c r="C48" i="2"/>
  <c r="C45" i="2"/>
  <c r="C44" i="2"/>
  <c r="C43" i="2"/>
  <c r="C39" i="2"/>
  <c r="C37" i="2"/>
  <c r="C36" i="2"/>
  <c r="C35" i="2"/>
  <c r="C33" i="2"/>
  <c r="C32" i="2"/>
  <c r="C31" i="2"/>
  <c r="C29" i="2"/>
  <c r="C28" i="2"/>
  <c r="C27" i="2"/>
  <c r="C26" i="2"/>
  <c r="C23" i="2"/>
  <c r="C22" i="2"/>
  <c r="C21" i="2"/>
  <c r="C15" i="2"/>
  <c r="C14" i="2"/>
  <c r="C13" i="2"/>
  <c r="C11" i="2"/>
  <c r="C10" i="2"/>
  <c r="C9" i="2"/>
  <c r="C7" i="2"/>
  <c r="C6" i="2"/>
  <c r="C5" i="2"/>
  <c r="C4" i="2"/>
  <c r="B12" i="1"/>
  <c r="B39" i="5" l="1"/>
  <c r="B37" i="7"/>
  <c r="B22" i="7"/>
  <c r="B22" i="5"/>
  <c r="B14" i="6"/>
  <c r="E14" i="6" s="1"/>
  <c r="K6" i="3"/>
  <c r="AD7" i="3"/>
  <c r="AD14" i="3"/>
  <c r="B14" i="9"/>
  <c r="E14" i="9" s="1"/>
  <c r="F14" i="9" s="1"/>
  <c r="H14" i="9" s="1"/>
  <c r="B14" i="7"/>
  <c r="I27" i="5"/>
  <c r="H27" i="8"/>
  <c r="H13" i="3"/>
  <c r="H26" i="3" s="1"/>
  <c r="G26" i="3"/>
  <c r="F39" i="4"/>
  <c r="E39" i="4"/>
  <c r="E14" i="5"/>
  <c r="B56" i="10"/>
  <c r="B59" i="10" s="1"/>
  <c r="B28" i="9"/>
  <c r="E28" i="9" s="1"/>
  <c r="F28" i="9" s="1"/>
  <c r="H28" i="9" s="1"/>
  <c r="B28" i="7"/>
  <c r="B28" i="8"/>
  <c r="F28" i="8" s="1"/>
  <c r="L13" i="3"/>
  <c r="L26" i="3" s="1"/>
  <c r="K26" i="3"/>
  <c r="AC29" i="3"/>
  <c r="AC23" i="3"/>
  <c r="H28" i="8"/>
  <c r="AD23" i="3"/>
  <c r="B19" i="8"/>
  <c r="F19" i="8" s="1"/>
  <c r="B19" i="7"/>
  <c r="B19" i="9"/>
  <c r="E19" i="9" s="1"/>
  <c r="F19" i="9" s="1"/>
  <c r="H19" i="9" s="1"/>
  <c r="I28" i="5"/>
  <c r="B11" i="7"/>
  <c r="B8" i="5"/>
  <c r="B7" i="5"/>
  <c r="G5" i="3"/>
  <c r="AD5" i="3" s="1"/>
  <c r="AC4" i="3"/>
  <c r="H5" i="3"/>
  <c r="H25" i="3" s="1"/>
  <c r="O13" i="3"/>
  <c r="AC14" i="3"/>
  <c r="B24" i="7"/>
  <c r="F24" i="7" s="1"/>
  <c r="B16" i="6"/>
  <c r="E16" i="6" s="1"/>
  <c r="B24" i="5"/>
  <c r="E19" i="5"/>
  <c r="B14" i="8"/>
  <c r="F14" i="8" s="1"/>
  <c r="B21" i="10"/>
  <c r="B11" i="8"/>
  <c r="E11" i="5"/>
  <c r="B11" i="9"/>
  <c r="E11" i="9" s="1"/>
  <c r="F11" i="9" s="1"/>
  <c r="H11" i="9" s="1"/>
  <c r="B25" i="10"/>
  <c r="B8" i="6"/>
  <c r="E8" i="6" s="1"/>
  <c r="B16" i="5"/>
  <c r="B16" i="7"/>
  <c r="B17" i="7"/>
  <c r="F17" i="7" s="1"/>
  <c r="B17" i="5"/>
  <c r="B9" i="6"/>
  <c r="E9" i="6" s="1"/>
  <c r="B31" i="9"/>
  <c r="E31" i="9" s="1"/>
  <c r="B31" i="8"/>
  <c r="F31" i="8" s="1"/>
  <c r="E31" i="5"/>
  <c r="B63" i="10"/>
  <c r="F37" i="10" s="1"/>
  <c r="T9" i="3"/>
  <c r="T27" i="3" s="1"/>
  <c r="AC27" i="3" s="1"/>
  <c r="S9" i="3"/>
  <c r="S27" i="3" s="1"/>
  <c r="B20" i="4"/>
  <c r="G16" i="4"/>
  <c r="G21" i="4" s="1"/>
  <c r="AC19" i="3"/>
  <c r="B11" i="6"/>
  <c r="E11" i="6" s="1"/>
  <c r="C41" i="4"/>
  <c r="B26" i="10"/>
  <c r="E13" i="5"/>
  <c r="B13" i="8"/>
  <c r="F13" i="8" s="1"/>
  <c r="P25" i="3"/>
  <c r="X27" i="3"/>
  <c r="AC6" i="3"/>
  <c r="B9" i="5" s="1"/>
  <c r="AA27" i="3"/>
  <c r="AD21" i="3"/>
  <c r="B31" i="7"/>
  <c r="L27" i="8"/>
  <c r="AB13" i="3"/>
  <c r="AB26" i="3" s="1"/>
  <c r="AA26" i="3"/>
  <c r="S4" i="3"/>
  <c r="AB27" i="3"/>
  <c r="S10" i="3"/>
  <c r="S26" i="3"/>
  <c r="B33" i="10"/>
  <c r="E20" i="5"/>
  <c r="B36" i="8"/>
  <c r="B21" i="9"/>
  <c r="E21" i="9" s="1"/>
  <c r="F21" i="9" s="1"/>
  <c r="H21" i="9" s="1"/>
  <c r="G11" i="3"/>
  <c r="G15" i="3"/>
  <c r="D12" i="4"/>
  <c r="B34" i="10"/>
  <c r="B26" i="8"/>
  <c r="F26" i="8" s="1"/>
  <c r="B68" i="10"/>
  <c r="B35" i="8"/>
  <c r="G9" i="3"/>
  <c r="W9" i="3"/>
  <c r="W27" i="3" s="1"/>
  <c r="E21" i="5"/>
  <c r="E26" i="5"/>
  <c r="B20" i="7"/>
  <c r="B26" i="7"/>
  <c r="B35" i="10"/>
  <c r="AC21" i="3"/>
  <c r="B21" i="7"/>
  <c r="B27" i="7"/>
  <c r="K4" i="3"/>
  <c r="AA4" i="3"/>
  <c r="AA25" i="3" s="1"/>
  <c r="AA31" i="3" s="1"/>
  <c r="S6" i="3"/>
  <c r="AD6" i="3" s="1"/>
  <c r="K10" i="3"/>
  <c r="AA10" i="3"/>
  <c r="G21" i="3"/>
  <c r="L4" i="3"/>
  <c r="L25" i="3" s="1"/>
  <c r="B38" i="5" l="1"/>
  <c r="B36" i="7"/>
  <c r="O26" i="3"/>
  <c r="P13" i="3"/>
  <c r="P26" i="3" s="1"/>
  <c r="AD13" i="3"/>
  <c r="C38" i="10"/>
  <c r="I24" i="7"/>
  <c r="J24" i="7" s="1"/>
  <c r="K24" i="7" s="1"/>
  <c r="H24" i="7"/>
  <c r="I14" i="5"/>
  <c r="H14" i="8" s="1"/>
  <c r="L14" i="8" s="1"/>
  <c r="N14" i="8" s="1"/>
  <c r="B5" i="5"/>
  <c r="B6" i="5"/>
  <c r="B32" i="5"/>
  <c r="B32" i="7"/>
  <c r="AD26" i="3"/>
  <c r="B22" i="9"/>
  <c r="E22" i="9" s="1"/>
  <c r="F22" i="9" s="1"/>
  <c r="H22" i="9" s="1"/>
  <c r="E22" i="5"/>
  <c r="B36" i="10"/>
  <c r="B22" i="8"/>
  <c r="F22" i="8" s="1"/>
  <c r="AA34" i="3"/>
  <c r="AA33" i="3"/>
  <c r="I11" i="5"/>
  <c r="H11" i="8"/>
  <c r="B40" i="5"/>
  <c r="B38" i="7"/>
  <c r="AC26" i="3"/>
  <c r="F22" i="7"/>
  <c r="AD10" i="3"/>
  <c r="K27" i="3"/>
  <c r="B16" i="9"/>
  <c r="E16" i="9" s="1"/>
  <c r="F16" i="9" s="1"/>
  <c r="H16" i="9" s="1"/>
  <c r="E16" i="5"/>
  <c r="B28" i="10"/>
  <c r="B16" i="8"/>
  <c r="F16" i="8" s="1"/>
  <c r="F11" i="8"/>
  <c r="L11" i="8"/>
  <c r="N11" i="8" s="1"/>
  <c r="E7" i="5"/>
  <c r="B7" i="9"/>
  <c r="B7" i="7"/>
  <c r="F7" i="7" s="1"/>
  <c r="B7" i="8"/>
  <c r="F7" i="8" s="1"/>
  <c r="B10" i="10"/>
  <c r="B7" i="6"/>
  <c r="E7" i="6" s="1"/>
  <c r="B15" i="5"/>
  <c r="B21" i="4"/>
  <c r="F20" i="4"/>
  <c r="F12" i="4"/>
  <c r="E12" i="4"/>
  <c r="D14" i="4"/>
  <c r="B15" i="10"/>
  <c r="B8" i="7"/>
  <c r="F8" i="7" s="1"/>
  <c r="E8" i="5"/>
  <c r="B8" i="8"/>
  <c r="F8" i="8" s="1"/>
  <c r="B8" i="9"/>
  <c r="E8" i="9" s="1"/>
  <c r="F8" i="9" s="1"/>
  <c r="H8" i="9" s="1"/>
  <c r="B71" i="10"/>
  <c r="B39" i="8"/>
  <c r="B37" i="9"/>
  <c r="I20" i="5"/>
  <c r="H20" i="8" s="1"/>
  <c r="L20" i="8" s="1"/>
  <c r="N20" i="8" s="1"/>
  <c r="B15" i="6"/>
  <c r="E15" i="6" s="1"/>
  <c r="B23" i="7"/>
  <c r="F23" i="7" s="1"/>
  <c r="B23" i="5"/>
  <c r="K25" i="3"/>
  <c r="K31" i="3" s="1"/>
  <c r="AD4" i="3"/>
  <c r="B30" i="7"/>
  <c r="B30" i="5"/>
  <c r="I13" i="5"/>
  <c r="H13" i="8"/>
  <c r="L13" i="8" s="1"/>
  <c r="N13" i="8" s="1"/>
  <c r="AD15" i="3"/>
  <c r="H15" i="3"/>
  <c r="H30" i="3" s="1"/>
  <c r="AC30" i="3" s="1"/>
  <c r="G25" i="3"/>
  <c r="O31" i="3"/>
  <c r="I31" i="5"/>
  <c r="H31" i="8"/>
  <c r="L31" i="8" s="1"/>
  <c r="N31" i="8" s="1"/>
  <c r="F31" i="9"/>
  <c r="H31" i="9" s="1"/>
  <c r="S25" i="3"/>
  <c r="S31" i="3" s="1"/>
  <c r="AD11" i="3"/>
  <c r="G28" i="3"/>
  <c r="AD28" i="3" s="1"/>
  <c r="B17" i="8"/>
  <c r="F17" i="8" s="1"/>
  <c r="E17" i="5"/>
  <c r="B29" i="10"/>
  <c r="B17" i="9"/>
  <c r="E17" i="9" s="1"/>
  <c r="F17" i="9" s="1"/>
  <c r="H17" i="9" s="1"/>
  <c r="I19" i="5"/>
  <c r="H19" i="8" s="1"/>
  <c r="L19" i="8" s="1"/>
  <c r="L28" i="8"/>
  <c r="N28" i="8" s="1"/>
  <c r="W31" i="3"/>
  <c r="G27" i="3"/>
  <c r="AD27" i="3" s="1"/>
  <c r="AD9" i="3"/>
  <c r="B9" i="8"/>
  <c r="F9" i="8" s="1"/>
  <c r="B9" i="9"/>
  <c r="E9" i="9" s="1"/>
  <c r="F9" i="9" s="1"/>
  <c r="H9" i="9" s="1"/>
  <c r="B9" i="7"/>
  <c r="F9" i="7" s="1"/>
  <c r="E9" i="5"/>
  <c r="B16" i="10"/>
  <c r="I26" i="5"/>
  <c r="H26" i="8" s="1"/>
  <c r="L26" i="8" s="1"/>
  <c r="N26" i="8" s="1"/>
  <c r="F27" i="10"/>
  <c r="C29" i="10"/>
  <c r="I17" i="7"/>
  <c r="J17" i="7" s="1"/>
  <c r="K17" i="7" s="1"/>
  <c r="H17" i="7"/>
  <c r="B24" i="9"/>
  <c r="E24" i="9" s="1"/>
  <c r="F24" i="9" s="1"/>
  <c r="H24" i="9" s="1"/>
  <c r="B38" i="10"/>
  <c r="B24" i="8"/>
  <c r="F24" i="8" s="1"/>
  <c r="E24" i="5"/>
  <c r="I21" i="5"/>
  <c r="H21" i="8"/>
  <c r="L21" i="8" s="1"/>
  <c r="N21" i="8" s="1"/>
  <c r="B9" i="10" l="1"/>
  <c r="B11" i="10" s="1"/>
  <c r="B5" i="8"/>
  <c r="F5" i="8" s="1"/>
  <c r="B5" i="9"/>
  <c r="B5" i="7"/>
  <c r="F5" i="7" s="1"/>
  <c r="E5" i="5"/>
  <c r="B15" i="8"/>
  <c r="F15" i="8" s="1"/>
  <c r="B27" i="10"/>
  <c r="B30" i="10" s="1"/>
  <c r="B15" i="9"/>
  <c r="E15" i="9" s="1"/>
  <c r="F15" i="9" s="1"/>
  <c r="H15" i="9" s="1"/>
  <c r="B15" i="7"/>
  <c r="F16" i="7" s="1"/>
  <c r="E15" i="5"/>
  <c r="B30" i="9"/>
  <c r="E30" i="9" s="1"/>
  <c r="E30" i="5"/>
  <c r="B30" i="8"/>
  <c r="F30" i="8" s="1"/>
  <c r="B62" i="10"/>
  <c r="AD31" i="3"/>
  <c r="I16" i="5"/>
  <c r="H16" i="8" s="1"/>
  <c r="L22" i="8"/>
  <c r="N22" i="8" s="1"/>
  <c r="J22" i="8"/>
  <c r="F21" i="4"/>
  <c r="E21" i="4"/>
  <c r="B41" i="4"/>
  <c r="F26" i="10"/>
  <c r="I7" i="7"/>
  <c r="J7" i="7" s="1"/>
  <c r="K7" i="7" s="1"/>
  <c r="H7" i="7"/>
  <c r="C10" i="10"/>
  <c r="B23" i="9"/>
  <c r="E23" i="9" s="1"/>
  <c r="F23" i="9" s="1"/>
  <c r="H23" i="9" s="1"/>
  <c r="E23" i="5"/>
  <c r="B37" i="10"/>
  <c r="B39" i="10" s="1"/>
  <c r="B23" i="8"/>
  <c r="F23" i="8" s="1"/>
  <c r="I8" i="7"/>
  <c r="J8" i="7" s="1"/>
  <c r="K8" i="7" s="1"/>
  <c r="C15" i="10"/>
  <c r="H8" i="7"/>
  <c r="F7" i="9"/>
  <c r="H7" i="9" s="1"/>
  <c r="E7" i="9"/>
  <c r="I22" i="5"/>
  <c r="H22" i="8"/>
  <c r="W34" i="3"/>
  <c r="W33" i="3"/>
  <c r="O33" i="3"/>
  <c r="O34" i="3"/>
  <c r="I7" i="5"/>
  <c r="H7" i="8" s="1"/>
  <c r="I23" i="7"/>
  <c r="J23" i="7" s="1"/>
  <c r="K23" i="7" s="1"/>
  <c r="H23" i="7"/>
  <c r="C37" i="10"/>
  <c r="G31" i="3"/>
  <c r="B10" i="7"/>
  <c r="B20" i="10"/>
  <c r="B22" i="10" s="1"/>
  <c r="D41" i="4"/>
  <c r="B10" i="5"/>
  <c r="E14" i="4"/>
  <c r="E41" i="4" s="1"/>
  <c r="C34" i="5"/>
  <c r="E34" i="5" s="1"/>
  <c r="B20" i="6"/>
  <c r="E20" i="6" s="1"/>
  <c r="F28" i="10" s="1"/>
  <c r="F14" i="4"/>
  <c r="H22" i="7"/>
  <c r="C36" i="10"/>
  <c r="I22" i="7"/>
  <c r="J22" i="7" s="1"/>
  <c r="K22" i="7" s="1"/>
  <c r="B37" i="5"/>
  <c r="B35" i="7"/>
  <c r="K33" i="3"/>
  <c r="K34" i="3"/>
  <c r="I9" i="5"/>
  <c r="H9" i="8" s="1"/>
  <c r="B41" i="5"/>
  <c r="B39" i="7"/>
  <c r="E32" i="5"/>
  <c r="B32" i="9"/>
  <c r="E32" i="9" s="1"/>
  <c r="B64" i="10"/>
  <c r="F38" i="10" s="1"/>
  <c r="B32" i="8"/>
  <c r="F32" i="8" s="1"/>
  <c r="S33" i="3"/>
  <c r="S34" i="3"/>
  <c r="I8" i="5"/>
  <c r="H8" i="8"/>
  <c r="L8" i="8" s="1"/>
  <c r="N8" i="8" s="1"/>
  <c r="H24" i="8"/>
  <c r="L24" i="8" s="1"/>
  <c r="N24" i="8" s="1"/>
  <c r="I24" i="5"/>
  <c r="I9" i="7"/>
  <c r="J9" i="7" s="1"/>
  <c r="K9" i="7" s="1"/>
  <c r="H9" i="7"/>
  <c r="C16" i="10"/>
  <c r="I17" i="5"/>
  <c r="H17" i="8"/>
  <c r="L17" i="8" s="1"/>
  <c r="B72" i="10"/>
  <c r="B40" i="8"/>
  <c r="B38" i="9"/>
  <c r="B6" i="7"/>
  <c r="F6" i="7" s="1"/>
  <c r="B14" i="10"/>
  <c r="B17" i="10" s="1"/>
  <c r="F32" i="10" s="1"/>
  <c r="F33" i="10" s="1"/>
  <c r="B6" i="8"/>
  <c r="F6" i="8" s="1"/>
  <c r="E6" i="5"/>
  <c r="B6" i="9"/>
  <c r="E6" i="9" s="1"/>
  <c r="F6" i="9" s="1"/>
  <c r="H6" i="9" s="1"/>
  <c r="B36" i="9"/>
  <c r="B70" i="10"/>
  <c r="B38" i="8"/>
  <c r="N17" i="8" l="1"/>
  <c r="J17" i="8"/>
  <c r="L7" i="8"/>
  <c r="N7" i="8" s="1"/>
  <c r="L9" i="8"/>
  <c r="N9" i="8" s="1"/>
  <c r="J9" i="8"/>
  <c r="H23" i="8"/>
  <c r="I23" i="5"/>
  <c r="I16" i="7"/>
  <c r="J16" i="7" s="1"/>
  <c r="K16" i="7" s="1"/>
  <c r="L16" i="8" s="1"/>
  <c r="C28" i="10"/>
  <c r="H16" i="7"/>
  <c r="H48" i="9"/>
  <c r="H34" i="8"/>
  <c r="L34" i="8" s="1"/>
  <c r="F23" i="10" s="1"/>
  <c r="B69" i="10"/>
  <c r="B37" i="8"/>
  <c r="B35" i="9"/>
  <c r="H6" i="8"/>
  <c r="L6" i="8" s="1"/>
  <c r="N6" i="8" s="1"/>
  <c r="I6" i="5"/>
  <c r="J24" i="8"/>
  <c r="J8" i="8"/>
  <c r="I5" i="5"/>
  <c r="H5" i="8" s="1"/>
  <c r="E21" i="6"/>
  <c r="I5" i="7"/>
  <c r="J5" i="7" s="1"/>
  <c r="K5" i="7" s="1"/>
  <c r="H5" i="7"/>
  <c r="H25" i="7" s="1"/>
  <c r="F40" i="7" s="1"/>
  <c r="C9" i="10"/>
  <c r="I15" i="5"/>
  <c r="H15" i="8" s="1"/>
  <c r="L15" i="8" s="1"/>
  <c r="N15" i="8" s="1"/>
  <c r="B10" i="8"/>
  <c r="E10" i="5"/>
  <c r="B10" i="9"/>
  <c r="E10" i="9" s="1"/>
  <c r="F10" i="9" s="1"/>
  <c r="H10" i="9" s="1"/>
  <c r="F29" i="10"/>
  <c r="AD34" i="3"/>
  <c r="AD33" i="3"/>
  <c r="F5" i="9"/>
  <c r="E5" i="9"/>
  <c r="F32" i="9"/>
  <c r="H32" i="9" s="1"/>
  <c r="I32" i="5"/>
  <c r="H32" i="8" s="1"/>
  <c r="L32" i="8" s="1"/>
  <c r="N32" i="8" s="1"/>
  <c r="B73" i="10"/>
  <c r="B39" i="9"/>
  <c r="B41" i="8"/>
  <c r="C14" i="10"/>
  <c r="I6" i="7"/>
  <c r="J6" i="7" s="1"/>
  <c r="K6" i="7" s="1"/>
  <c r="H6" i="7"/>
  <c r="F36" i="10"/>
  <c r="F39" i="10" s="1"/>
  <c r="B65" i="10"/>
  <c r="L23" i="8"/>
  <c r="N23" i="8" s="1"/>
  <c r="J23" i="8"/>
  <c r="G33" i="3"/>
  <c r="G34" i="3"/>
  <c r="C173" i="2" s="1"/>
  <c r="F30" i="9"/>
  <c r="H30" i="9" s="1"/>
  <c r="I30" i="5"/>
  <c r="H30" i="8" s="1"/>
  <c r="L30" i="8" s="1"/>
  <c r="N30" i="8" s="1"/>
  <c r="L5" i="8" l="1"/>
  <c r="N16" i="8"/>
  <c r="J16" i="8"/>
  <c r="L10" i="8"/>
  <c r="N10" i="8" s="1"/>
  <c r="F10" i="8"/>
  <c r="F45" i="8" s="1"/>
  <c r="F7" i="10" s="1"/>
  <c r="J6" i="8"/>
  <c r="B74" i="10"/>
  <c r="J7" i="8"/>
  <c r="E40" i="9"/>
  <c r="H5" i="9"/>
  <c r="H41" i="9" s="1"/>
  <c r="F41" i="9"/>
  <c r="I10" i="5"/>
  <c r="H10" i="8" s="1"/>
  <c r="H45" i="8" s="1"/>
  <c r="I43" i="5"/>
  <c r="E43" i="5"/>
  <c r="F8" i="10" s="1"/>
  <c r="N5" i="8" l="1"/>
  <c r="L45" i="8"/>
  <c r="L46" i="8" s="1"/>
  <c r="F13" i="10" s="1"/>
  <c r="F16" i="10"/>
  <c r="H43" i="9"/>
  <c r="F11" i="10"/>
  <c r="H45" i="9"/>
  <c r="F19" i="10" s="1"/>
  <c r="J5" i="8"/>
  <c r="J45" i="8" s="1"/>
  <c r="J46" i="8" l="1"/>
  <c r="F10" i="10"/>
  <c r="F12" i="10" s="1"/>
  <c r="H46" i="9"/>
  <c r="F20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ID#AAAAaSQu_vI
    (2022-06-03 16:21:47)
Little red triangles in the upper right hand corner indicate that boxes containing more detailed information will pop up if you hover the cursor over the cell.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ZjGyLantlJEEwD7i90NKtBB4nA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200-00000E000000}">
      <text>
        <r>
          <rPr>
            <sz val="11"/>
            <color rgb="FF000000"/>
            <rFont val="Calibri"/>
            <scheme val="minor"/>
          </rPr>
          <t>======
ID#AAAAaSQu_xw
    (2022-06-03 16:21:47)
Click on cell to enable drop down menu and select the number of buildings you would like to build.</t>
        </r>
      </text>
    </comment>
    <comment ref="I4" authorId="0" shapeId="0" xr:uid="{00000000-0006-0000-0200-000008000000}">
      <text>
        <r>
          <rPr>
            <sz val="11"/>
            <color rgb="FF000000"/>
            <rFont val="Calibri"/>
            <scheme val="minor"/>
          </rPr>
          <t>======
ID#AAAAaSQu_yQ
    (2022-06-03 16:21:47)
Click on cell to enable drop down menu and select the number of buildings you would like to build.</t>
        </r>
      </text>
    </comment>
    <comment ref="M4" authorId="0" shapeId="0" xr:uid="{00000000-0006-0000-0200-000003000000}">
      <text>
        <r>
          <rPr>
            <sz val="11"/>
            <color rgb="FF000000"/>
            <rFont val="Calibri"/>
            <scheme val="minor"/>
          </rPr>
          <t>======
ID#AAAAaSQu_yk
    (2022-06-03 16:21:47)
Click on cell to enable drop down menu and select the number of buildings you would like to build.</t>
        </r>
      </text>
    </comment>
    <comment ref="Q4" authorId="0" shapeId="0" xr:uid="{00000000-0006-0000-0200-00001E000000}">
      <text>
        <r>
          <rPr>
            <sz val="11"/>
            <color rgb="FF000000"/>
            <rFont val="Calibri"/>
            <scheme val="minor"/>
          </rPr>
          <t>======
ID#AAAAaSQu_wg
    (2022-06-03 16:21:47)
Click on cell to enable drop down menu and select the number of buildings you would like to build.</t>
        </r>
      </text>
    </comment>
    <comment ref="U4" authorId="0" shapeId="0" xr:uid="{00000000-0006-0000-0200-000044000000}">
      <text>
        <r>
          <rPr>
            <sz val="11"/>
            <color rgb="FF000000"/>
            <rFont val="Calibri"/>
            <scheme val="minor"/>
          </rPr>
          <t>======
ID#AAAAaSQu_tQ
    (2022-06-03 16:21:47)
Click on cell to enable drop down menu and select the number of buildings you would like to build.</t>
        </r>
      </text>
    </comment>
    <comment ref="Y4" authorId="0" shapeId="0" xr:uid="{00000000-0006-0000-0200-000024000000}">
      <text>
        <r>
          <rPr>
            <sz val="11"/>
            <color rgb="FF000000"/>
            <rFont val="Calibri"/>
            <scheme val="minor"/>
          </rPr>
          <t>======
ID#AAAAaSQu_wA
    (2022-06-03 16:21:47)
Click on cell to enable drop down menu and select the number of buildings you would like to build.</t>
        </r>
      </text>
    </comment>
    <comment ref="E5" authorId="0" shapeId="0" xr:uid="{00000000-0006-0000-0200-000011000000}">
      <text>
        <r>
          <rPr>
            <sz val="11"/>
            <color rgb="FF000000"/>
            <rFont val="Calibri"/>
            <scheme val="minor"/>
          </rPr>
          <t>======
ID#AAAAaSQu_xo
    (2022-06-03 16:21:47)
Click on cell to enable drop down menu and select the number of buildings you would like to build.</t>
        </r>
      </text>
    </comment>
    <comment ref="I5" authorId="0" shapeId="0" xr:uid="{00000000-0006-0000-0200-000034000000}">
      <text>
        <r>
          <rPr>
            <sz val="11"/>
            <color rgb="FF000000"/>
            <rFont val="Calibri"/>
            <scheme val="minor"/>
          </rPr>
          <t>======
ID#AAAAaSQu_ug
    (2022-06-03 16:21:47)
Click on cell to enable drop down menu and select the number of buildings you would like to build.</t>
        </r>
      </text>
    </comment>
    <comment ref="M5" authorId="0" shapeId="0" xr:uid="{00000000-0006-0000-0200-00003F000000}">
      <text>
        <r>
          <rPr>
            <sz val="11"/>
            <color rgb="FF000000"/>
            <rFont val="Calibri"/>
            <scheme val="minor"/>
          </rPr>
          <t>======
ID#AAAAaSQu_to
    (2022-06-03 16:21:47)
Click on cell to enable drop down menu and select the number of buildings you would like to build.</t>
        </r>
      </text>
    </comment>
    <comment ref="Q5" authorId="0" shapeId="0" xr:uid="{00000000-0006-0000-0200-000013000000}">
      <text>
        <r>
          <rPr>
            <sz val="11"/>
            <color rgb="FF000000"/>
            <rFont val="Calibri"/>
            <scheme val="minor"/>
          </rPr>
          <t>======
ID#AAAAaSQu_xg
    (2022-06-03 16:21:47)
Click on cell to enable drop down menu and select the number of buildings you would like to build.</t>
        </r>
      </text>
    </comment>
    <comment ref="U5" authorId="0" shapeId="0" xr:uid="{00000000-0006-0000-0200-00003E000000}">
      <text>
        <r>
          <rPr>
            <sz val="11"/>
            <color rgb="FF000000"/>
            <rFont val="Calibri"/>
            <scheme val="minor"/>
          </rPr>
          <t>======
ID#AAAAaSQu_t0
    (2022-06-03 16:21:47)
Click on cell to enable drop down menu and select the number of buildings you would like to build.</t>
        </r>
      </text>
    </comment>
    <comment ref="Y5" authorId="0" shapeId="0" xr:uid="{00000000-0006-0000-0200-00003A000000}">
      <text>
        <r>
          <rPr>
            <sz val="11"/>
            <color rgb="FF000000"/>
            <rFont val="Calibri"/>
            <scheme val="minor"/>
          </rPr>
          <t>======
ID#AAAAaSQu_uI
    (2022-06-03 16:21:47)
Click on cell to enable drop down menu and select the number of buildings you would like to build.</t>
        </r>
      </text>
    </comment>
    <comment ref="E6" authorId="0" shapeId="0" xr:uid="{00000000-0006-0000-0200-00001B000000}">
      <text>
        <r>
          <rPr>
            <sz val="11"/>
            <color rgb="FF000000"/>
            <rFont val="Calibri"/>
            <scheme val="minor"/>
          </rPr>
          <t>======
ID#AAAAaSQu_ww
    (2022-06-03 16:21:47)
Click on cell to enable drop down menu and select the number of buildings you would like to build.</t>
        </r>
      </text>
    </comment>
    <comment ref="I6" authorId="0" shapeId="0" xr:uid="{00000000-0006-0000-0200-00002A000000}">
      <text>
        <r>
          <rPr>
            <sz val="11"/>
            <color rgb="FF000000"/>
            <rFont val="Calibri"/>
            <scheme val="minor"/>
          </rPr>
          <t>======
ID#AAAAaSQu_vY
    (2022-06-03 16:21:47)
Click on cell to enable drop down menu and select the number of buildings you would like to build.</t>
        </r>
      </text>
    </comment>
    <comment ref="M6" authorId="0" shapeId="0" xr:uid="{00000000-0006-0000-0200-000037000000}">
      <text>
        <r>
          <rPr>
            <sz val="11"/>
            <color rgb="FF000000"/>
            <rFont val="Calibri"/>
            <scheme val="minor"/>
          </rPr>
          <t>======
ID#AAAAaSQu_uU
    (2022-06-03 16:21:47)
Click on cell to enable drop down menu and select the number of buildings you would like to build.</t>
        </r>
      </text>
    </comment>
    <comment ref="Q6" authorId="0" shapeId="0" xr:uid="{00000000-0006-0000-0200-000001000000}">
      <text>
        <r>
          <rPr>
            <sz val="11"/>
            <color rgb="FF000000"/>
            <rFont val="Calibri"/>
            <scheme val="minor"/>
          </rPr>
          <t>======
ID#AAAAaSQu_yw
    (2022-06-03 16:21:47)
Click on cell to enable drop down menu and select the number of buildings you would like to build.</t>
        </r>
      </text>
    </comment>
    <comment ref="U6" authorId="0" shapeId="0" xr:uid="{00000000-0006-0000-0200-000002000000}">
      <text>
        <r>
          <rPr>
            <sz val="11"/>
            <color rgb="FF000000"/>
            <rFont val="Calibri"/>
            <scheme val="minor"/>
          </rPr>
          <t>======
ID#AAAAaSQu_ys
    (2022-06-03 16:21:47)
Click on cell to enable drop down menu and select the number of buildings you would like to build.</t>
        </r>
      </text>
    </comment>
    <comment ref="Y6" authorId="0" shapeId="0" xr:uid="{00000000-0006-0000-0200-000041000000}">
      <text>
        <r>
          <rPr>
            <sz val="11"/>
            <color rgb="FF000000"/>
            <rFont val="Calibri"/>
            <scheme val="minor"/>
          </rPr>
          <t>======
ID#AAAAaSQu_tY
    (2022-06-03 16:21:47)
Click on cell to enable drop down menu and select the number of buildings you would like to build.</t>
        </r>
      </text>
    </comment>
    <comment ref="E7" authorId="0" shapeId="0" xr:uid="{00000000-0006-0000-0200-00002D000000}">
      <text>
        <r>
          <rPr>
            <sz val="11"/>
            <color rgb="FF000000"/>
            <rFont val="Calibri"/>
            <scheme val="minor"/>
          </rPr>
          <t>======
ID#AAAAaSQu_vE
    (2022-06-03 16:21:47)
Click on cell to enable drop down menu and select the number of buildings you would like to build.</t>
        </r>
      </text>
    </comment>
    <comment ref="I7" authorId="0" shapeId="0" xr:uid="{00000000-0006-0000-0200-000009000000}">
      <text>
        <r>
          <rPr>
            <sz val="11"/>
            <color rgb="FF000000"/>
            <rFont val="Calibri"/>
            <scheme val="minor"/>
          </rPr>
          <t>======
ID#AAAAaSQu_yM
    (2022-06-03 16:21:47)
Click on cell to enable drop down menu and select the number of buildings you would like to build.</t>
        </r>
      </text>
    </comment>
    <comment ref="M7" authorId="0" shapeId="0" xr:uid="{00000000-0006-0000-0200-000033000000}">
      <text>
        <r>
          <rPr>
            <sz val="11"/>
            <color rgb="FF000000"/>
            <rFont val="Calibri"/>
            <scheme val="minor"/>
          </rPr>
          <t>======
ID#AAAAaSQu_uk
    (2022-06-03 16:21:47)
Click on cell to enable drop down menu and select the number of buildings you would like to build.</t>
        </r>
      </text>
    </comment>
    <comment ref="Q7" authorId="0" shapeId="0" xr:uid="{00000000-0006-0000-0200-000045000000}">
      <text>
        <r>
          <rPr>
            <sz val="11"/>
            <color rgb="FF000000"/>
            <rFont val="Calibri"/>
            <scheme val="minor"/>
          </rPr>
          <t>======
ID#AAAAaSQu_tM
    (2022-06-03 16:21:47)
Click on cell to enable drop down menu and select the number of buildings you would like to build.</t>
        </r>
      </text>
    </comment>
    <comment ref="U7" authorId="0" shapeId="0" xr:uid="{00000000-0006-0000-0200-00000C000000}">
      <text>
        <r>
          <rPr>
            <sz val="11"/>
            <color rgb="FF000000"/>
            <rFont val="Calibri"/>
            <scheme val="minor"/>
          </rPr>
          <t>======
ID#AAAAaSQu_yE
    (2022-06-03 16:21:47)
Click on cell to enable drop down menu and select the number of buildings you would like to build.</t>
        </r>
      </text>
    </comment>
    <comment ref="Y7" authorId="0" shapeId="0" xr:uid="{00000000-0006-0000-0200-000030000000}">
      <text>
        <r>
          <rPr>
            <sz val="11"/>
            <color rgb="FF000000"/>
            <rFont val="Calibri"/>
            <scheme val="minor"/>
          </rPr>
          <t>======
ID#AAAAaSQu_u0
    (2022-06-03 16:21:47)
Click on cell to enable drop down menu and select the number of buildings you would like to build.</t>
        </r>
      </text>
    </comment>
    <comment ref="E9" authorId="0" shapeId="0" xr:uid="{00000000-0006-0000-0200-000018000000}">
      <text>
        <r>
          <rPr>
            <sz val="11"/>
            <color rgb="FF000000"/>
            <rFont val="Calibri"/>
            <scheme val="minor"/>
          </rPr>
          <t>======
ID#AAAAaSQu_xM
    (2022-06-03 16:21:47)
Click on cell to enable drop down menu and select the number of buildings you would like to build.</t>
        </r>
      </text>
    </comment>
    <comment ref="I9" authorId="0" shapeId="0" xr:uid="{00000000-0006-0000-0200-000015000000}">
      <text>
        <r>
          <rPr>
            <sz val="11"/>
            <color rgb="FF000000"/>
            <rFont val="Calibri"/>
            <scheme val="minor"/>
          </rPr>
          <t>======
ID#AAAAaSQu_xY
    (2022-06-03 16:21:47)
Click on cell to enable drop down menu and select the number of buildings you would like to build.</t>
        </r>
      </text>
    </comment>
    <comment ref="M9" authorId="0" shapeId="0" xr:uid="{00000000-0006-0000-0200-000047000000}">
      <text>
        <r>
          <rPr>
            <sz val="11"/>
            <color rgb="FF000000"/>
            <rFont val="Calibri"/>
            <scheme val="minor"/>
          </rPr>
          <t>======
ID#AAAAaSQu_s4
    (2022-06-03 16:21:47)
Click on cell to enable drop down menu and select the number of buildings you would like to build.</t>
        </r>
      </text>
    </comment>
    <comment ref="Y9" authorId="0" shapeId="0" xr:uid="{00000000-0006-0000-0200-00003D000000}">
      <text>
        <r>
          <rPr>
            <sz val="11"/>
            <color rgb="FF000000"/>
            <rFont val="Calibri"/>
            <scheme val="minor"/>
          </rPr>
          <t>======
ID#AAAAaSQu_tw
    (2022-06-03 16:21:47)
Click on cell to enable drop down menu and select the number of buildings you would like to build.</t>
        </r>
      </text>
    </comment>
    <comment ref="E10" authorId="0" shapeId="0" xr:uid="{00000000-0006-0000-0200-00000F000000}">
      <text>
        <r>
          <rPr>
            <sz val="11"/>
            <color rgb="FF000000"/>
            <rFont val="Calibri"/>
            <scheme val="minor"/>
          </rPr>
          <t>======
ID#AAAAaSQu_x0
    (2022-06-03 16:21:47)
Click on cell to enable drop down menu and select the number of buildings you would like to build.</t>
        </r>
      </text>
    </comment>
    <comment ref="I10" authorId="0" shapeId="0" xr:uid="{00000000-0006-0000-0200-00002E000000}">
      <text>
        <r>
          <rPr>
            <sz val="11"/>
            <color rgb="FF000000"/>
            <rFont val="Calibri"/>
            <scheme val="minor"/>
          </rPr>
          <t>======
ID#AAAAaSQu_vA
    (2022-06-03 16:21:47)
Click on cell to enable drop down menu and select the number of buildings you would like to build.</t>
        </r>
      </text>
    </comment>
    <comment ref="M10" authorId="0" shapeId="0" xr:uid="{00000000-0006-0000-0200-000043000000}">
      <text>
        <r>
          <rPr>
            <sz val="11"/>
            <color rgb="FF000000"/>
            <rFont val="Calibri"/>
            <scheme val="minor"/>
          </rPr>
          <t>======
ID#AAAAaSQu_tc
    (2022-06-03 16:21:47)
Click on cell to enable drop down menu and select the number of buildings you would like to build.</t>
        </r>
      </text>
    </comment>
    <comment ref="Y10" authorId="0" shapeId="0" xr:uid="{00000000-0006-0000-0200-000027000000}">
      <text>
        <r>
          <rPr>
            <sz val="11"/>
            <color rgb="FF000000"/>
            <rFont val="Calibri"/>
            <scheme val="minor"/>
          </rPr>
          <t>======
ID#AAAAaSQu_vo
    (2022-06-03 16:21:47)
Click on cell to enable drop down menu and select the number of buildings you would like to build.</t>
        </r>
      </text>
    </comment>
    <comment ref="E11" authorId="0" shapeId="0" xr:uid="{00000000-0006-0000-0200-000032000000}">
      <text>
        <r>
          <rPr>
            <sz val="11"/>
            <color rgb="FF000000"/>
            <rFont val="Calibri"/>
            <scheme val="minor"/>
          </rPr>
          <t>======
ID#AAAAaSQu_us
    (2022-06-03 16:21:47)
Click on cell to enable drop down menu and select the number of buildings you would like to build.</t>
        </r>
      </text>
    </comment>
    <comment ref="I11" authorId="0" shapeId="0" xr:uid="{00000000-0006-0000-0200-000010000000}">
      <text>
        <r>
          <rPr>
            <sz val="11"/>
            <color rgb="FF000000"/>
            <rFont val="Calibri"/>
            <scheme val="minor"/>
          </rPr>
          <t>======
ID#AAAAaSQu_xs
    (2022-06-03 16:21:47)
Click on cell to enable drop down menu and select the number of buildings you would like to build.</t>
        </r>
      </text>
    </comment>
    <comment ref="M11" authorId="0" shapeId="0" xr:uid="{00000000-0006-0000-0200-00003C000000}">
      <text>
        <r>
          <rPr>
            <sz val="11"/>
            <color rgb="FF000000"/>
            <rFont val="Calibri"/>
            <scheme val="minor"/>
          </rPr>
          <t>======
ID#AAAAaSQu_uA
    (2022-06-03 16:21:47)
Click on cell to enable drop down menu and select the number of buildings you would like to build.</t>
        </r>
      </text>
    </comment>
    <comment ref="Y11" authorId="0" shapeId="0" xr:uid="{00000000-0006-0000-0200-000006000000}">
      <text>
        <r>
          <rPr>
            <sz val="11"/>
            <color rgb="FF000000"/>
            <rFont val="Calibri"/>
            <scheme val="minor"/>
          </rPr>
          <t>======
ID#AAAAaSQu_yY
    (2022-06-03 16:21:47)
Click on cell to enable drop down menu and select the number of buildings you would like to build.</t>
        </r>
      </text>
    </comment>
    <comment ref="E13" authorId="0" shapeId="0" xr:uid="{00000000-0006-0000-0200-00002F000000}">
      <text>
        <r>
          <rPr>
            <sz val="11"/>
            <color rgb="FF000000"/>
            <rFont val="Calibri"/>
            <scheme val="minor"/>
          </rPr>
          <t>======
ID#AAAAaSQu_u4
    (2022-06-03 16:21:47)
Click on cell to enable drop down menu and select the number of buildings you would like to build.</t>
        </r>
      </text>
    </comment>
    <comment ref="I13" authorId="0" shapeId="0" xr:uid="{00000000-0006-0000-0200-000042000000}">
      <text>
        <r>
          <rPr>
            <sz val="11"/>
            <color rgb="FF000000"/>
            <rFont val="Calibri"/>
            <scheme val="minor"/>
          </rPr>
          <t>======
ID#AAAAaSQu_tU
    (2022-06-03 16:21:47)
Click on cell to enable drop down menu and select the number of buildings you would like to build.</t>
        </r>
      </text>
    </comment>
    <comment ref="M13" authorId="0" shapeId="0" xr:uid="{00000000-0006-0000-0200-00003B000000}">
      <text>
        <r>
          <rPr>
            <sz val="11"/>
            <color rgb="FF000000"/>
            <rFont val="Calibri"/>
            <scheme val="minor"/>
          </rPr>
          <t>======
ID#AAAAaSQu_uE
    (2022-06-03 16:21:47)
Click on cell to enable drop down menu and select the number of buildings you would like to build.</t>
        </r>
      </text>
    </comment>
    <comment ref="Q13" authorId="0" shapeId="0" xr:uid="{00000000-0006-0000-0200-00001A000000}">
      <text>
        <r>
          <rPr>
            <sz val="11"/>
            <color rgb="FF000000"/>
            <rFont val="Calibri"/>
            <scheme val="minor"/>
          </rPr>
          <t>======
ID#AAAAaSQu_w4
    (2022-06-03 16:21:47)
Click on cell to enable drop down menu and select the number of buildings you would like to build.</t>
        </r>
      </text>
    </comment>
    <comment ref="U13" authorId="0" shapeId="0" xr:uid="{00000000-0006-0000-0200-00000D000000}">
      <text>
        <r>
          <rPr>
            <sz val="11"/>
            <color rgb="FF000000"/>
            <rFont val="Calibri"/>
            <scheme val="minor"/>
          </rPr>
          <t>======
ID#AAAAaSQu_yA
    (2022-06-03 16:21:47)
Click on cell to enable drop down menu and select the number of buildings you would like to build.</t>
        </r>
      </text>
    </comment>
    <comment ref="Y13" authorId="0" shapeId="0" xr:uid="{00000000-0006-0000-0200-000023000000}">
      <text>
        <r>
          <rPr>
            <sz val="11"/>
            <color rgb="FF000000"/>
            <rFont val="Calibri"/>
            <scheme val="minor"/>
          </rPr>
          <t>======
ID#AAAAaSQu_v8
    (2022-06-03 16:21:47)
Click on cell to enable drop down menu and select the number of buildings you would like to build.</t>
        </r>
      </text>
    </comment>
    <comment ref="E14" authorId="0" shapeId="0" xr:uid="{00000000-0006-0000-0200-000028000000}">
      <text>
        <r>
          <rPr>
            <sz val="11"/>
            <color rgb="FF000000"/>
            <rFont val="Calibri"/>
            <scheme val="minor"/>
          </rPr>
          <t>======
ID#AAAAaSQu_vg
    (2022-06-03 16:21:47)
Click on cell to enable drop down menu and select the number of buildings you would like to build.</t>
        </r>
      </text>
    </comment>
    <comment ref="I14" authorId="0" shapeId="0" xr:uid="{00000000-0006-0000-0200-000004000000}">
      <text>
        <r>
          <rPr>
            <sz val="11"/>
            <color rgb="FF000000"/>
            <rFont val="Calibri"/>
            <scheme val="minor"/>
          </rPr>
          <t>======
ID#AAAAaSQu_yg
    (2022-06-03 16:21:47)
Click on cell to enable drop down menu and select the number of buildings you would like to build.</t>
        </r>
      </text>
    </comment>
    <comment ref="M14" authorId="0" shapeId="0" xr:uid="{00000000-0006-0000-0200-00001D000000}">
      <text>
        <r>
          <rPr>
            <sz val="11"/>
            <color rgb="FF000000"/>
            <rFont val="Calibri"/>
            <scheme val="minor"/>
          </rPr>
          <t>======
ID#AAAAaSQu_wo
    (2022-06-03 16:21:47)
Click on cell to enable drop down menu and select the number of buildings you would like to build.</t>
        </r>
      </text>
    </comment>
    <comment ref="Q14" authorId="0" shapeId="0" xr:uid="{00000000-0006-0000-0200-000038000000}">
      <text>
        <r>
          <rPr>
            <sz val="11"/>
            <color rgb="FF000000"/>
            <rFont val="Calibri"/>
            <scheme val="minor"/>
          </rPr>
          <t>======
ID#AAAAaSQu_uQ
    (2022-06-03 16:21:47)
Click on cell to enable drop down menu and select the number of buildings you would like to build.</t>
        </r>
      </text>
    </comment>
    <comment ref="U14" authorId="0" shapeId="0" xr:uid="{00000000-0006-0000-0200-000040000000}">
      <text>
        <r>
          <rPr>
            <sz val="11"/>
            <color rgb="FF000000"/>
            <rFont val="Calibri"/>
            <scheme val="minor"/>
          </rPr>
          <t>======
ID#AAAAaSQu_tk
    (2022-06-03 16:21:47)
Click on cell to enable drop down menu and select the number of buildings you would like to build.</t>
        </r>
      </text>
    </comment>
    <comment ref="Y14" authorId="0" shapeId="0" xr:uid="{00000000-0006-0000-0200-000012000000}">
      <text>
        <r>
          <rPr>
            <sz val="11"/>
            <color rgb="FF000000"/>
            <rFont val="Calibri"/>
            <scheme val="minor"/>
          </rPr>
          <t>======
ID#AAAAaSQu_xk
    (2022-06-03 16:21:47)
Click on cell to enable drop down menu and select the number of buildings you would like to build.</t>
        </r>
      </text>
    </comment>
    <comment ref="E15" authorId="0" shapeId="0" xr:uid="{00000000-0006-0000-0200-000031000000}">
      <text>
        <r>
          <rPr>
            <sz val="11"/>
            <color rgb="FF000000"/>
            <rFont val="Calibri"/>
            <scheme val="minor"/>
          </rPr>
          <t>======
ID#AAAAaSQu_uw
    (2022-06-03 16:21:47)
Click on cell to enable drop down menu and select the number of buildings you would like to build.</t>
        </r>
      </text>
    </comment>
    <comment ref="I15" authorId="0" shapeId="0" xr:uid="{00000000-0006-0000-0200-00001C000000}">
      <text>
        <r>
          <rPr>
            <sz val="11"/>
            <color rgb="FF000000"/>
            <rFont val="Calibri"/>
            <scheme val="minor"/>
          </rPr>
          <t>======
ID#AAAAaSQu_w0
    (2022-06-03 16:21:47)
Click on cell to enable drop down menu and select the number of buildings you would like to build.</t>
        </r>
      </text>
    </comment>
    <comment ref="I17" authorId="0" shapeId="0" xr:uid="{00000000-0006-0000-0200-000020000000}">
      <text>
        <r>
          <rPr>
            <sz val="11"/>
            <color rgb="FF000000"/>
            <rFont val="Calibri"/>
            <scheme val="minor"/>
          </rPr>
          <t>======
ID#AAAAaSQu_wM
    (2022-06-03 16:21:47)
Click on cell to enable drop down menu and select the number of buildings you would like to build.</t>
        </r>
      </text>
    </comment>
    <comment ref="N18" authorId="0" shapeId="0" xr:uid="{00000000-0006-0000-0200-000017000000}">
      <text>
        <r>
          <rPr>
            <sz val="11"/>
            <color rgb="FF000000"/>
            <rFont val="Calibri"/>
            <scheme val="minor"/>
          </rPr>
          <t>======
ID#AAAAaSQu_xQ
    (2022-06-03 16:21:47)
See Use Allocation Sheet to select use for this building</t>
        </r>
      </text>
    </comment>
    <comment ref="Q19" authorId="0" shapeId="0" xr:uid="{00000000-0006-0000-0200-000007000000}">
      <text>
        <r>
          <rPr>
            <sz val="11"/>
            <color rgb="FF000000"/>
            <rFont val="Calibri"/>
            <scheme val="minor"/>
          </rPr>
          <t>======
ID#AAAAaSQu_yU
    (2022-06-03 16:21:47)
Click on cell to enable drop down menu and select the number of buildings you would like to build.</t>
        </r>
      </text>
    </comment>
    <comment ref="E21" authorId="0" shapeId="0" xr:uid="{00000000-0006-0000-0200-000022000000}">
      <text>
        <r>
          <rPr>
            <sz val="11"/>
            <color rgb="FF000000"/>
            <rFont val="Calibri"/>
            <scheme val="minor"/>
          </rPr>
          <t>======
ID#AAAAaSQu_wE
    (2022-06-03 16:21:47)
Each building increment in the Amenities section represents 5K SF. The minimum  permitted size for Parks/Open Space equals 5K SF or "1" building unit. This equals one Lego square. Developer may add in 5K increments,  10K SF or "2" building increments equals one Lego rectangle.</t>
        </r>
      </text>
    </comment>
    <comment ref="I21" authorId="0" shapeId="0" xr:uid="{00000000-0006-0000-0200-000021000000}">
      <text>
        <r>
          <rPr>
            <sz val="11"/>
            <color rgb="FF000000"/>
            <rFont val="Calibri"/>
            <scheme val="minor"/>
          </rPr>
          <t>======
ID#AAAAaSQu_wI
    (2022-06-03 16:21:47)
Each building increment in the Amenities section represents 5K SF. The minimum  permitted size for Parks/Open Space equals 5K SF or "1" building unit. This equals one Lego square. Developer may add in 5K increments,  10K SF or "2" building increments equals one Lego rectangle.</t>
        </r>
      </text>
    </comment>
    <comment ref="M21" authorId="0" shapeId="0" xr:uid="{00000000-0006-0000-0200-000029000000}">
      <text>
        <r>
          <rPr>
            <sz val="11"/>
            <color rgb="FF000000"/>
            <rFont val="Calibri"/>
            <scheme val="minor"/>
          </rPr>
          <t>======
ID#AAAAaSQu_vc
    (2022-06-03 16:21:47)
Each building increment in the Amenities section represents 5K SF. The minimum  permitted size for Parks/Open Space equals 5K SF or "1" building unit. This equals one Lego square. Developer may add in 5K increments,  10K SF or "2" building increments equals one Lego rectangle.</t>
        </r>
      </text>
    </comment>
    <comment ref="Q21" authorId="0" shapeId="0" xr:uid="{00000000-0006-0000-0200-00002C000000}">
      <text>
        <r>
          <rPr>
            <sz val="11"/>
            <color rgb="FF000000"/>
            <rFont val="Calibri"/>
            <scheme val="minor"/>
          </rPr>
          <t>======
ID#AAAAaSQu_vQ
    (2022-06-03 16:21:47)
Each building increment in the Amenities section represents 5K SF. The minimum  permitted size for Parks/Open Space equals 5K SF or "1" building unit. This equals one Lego square. Developer may add in 5K increments,  10K SF or "2" building increments equals one Lego rectangle.</t>
        </r>
      </text>
    </comment>
    <comment ref="U21" authorId="0" shapeId="0" xr:uid="{00000000-0006-0000-0200-000014000000}">
      <text>
        <r>
          <rPr>
            <sz val="11"/>
            <color rgb="FF000000"/>
            <rFont val="Calibri"/>
            <scheme val="minor"/>
          </rPr>
          <t>======
ID#AAAAaSQu_xc
    (2022-06-03 16:21:47)
Each building increment in the Amenities section represents 5K SF. The minimum  permitted size for Parks/Open Space equals 5K SF or "1" building unit. This equals one Lego square. Developer may add in 5K increments,  10K SF or "2" building increments equals one Lego rectangle.</t>
        </r>
      </text>
    </comment>
    <comment ref="Y21" authorId="0" shapeId="0" xr:uid="{00000000-0006-0000-0200-000005000000}">
      <text>
        <r>
          <rPr>
            <sz val="11"/>
            <color rgb="FF000000"/>
            <rFont val="Calibri"/>
            <scheme val="minor"/>
          </rPr>
          <t>======
ID#AAAAaSQu_yc
    (2022-06-03 16:21:47)
Each building increment in the Amenities section represents 5K SF. The minimum  permitted size for Parks/Open Space equals 5K SF or "1" building unit. This equals one Lego square. Developer may add in 5K increments,  10K SF or "2" building increments equals one Lego rectangle.</t>
        </r>
      </text>
    </comment>
    <comment ref="E22" authorId="0" shapeId="0" xr:uid="{00000000-0006-0000-0200-00002B000000}">
      <text>
        <r>
          <rPr>
            <sz val="11"/>
            <color rgb="FF000000"/>
            <rFont val="Calibri"/>
            <scheme val="minor"/>
          </rPr>
          <t>======
ID#AAAAaSQu_vU
    (2022-06-03 16:21:47)
Sports fields/courts are 10K SF and may only be increased in 10K SF increments.  Select "2" for one park, "4" for two parks, etc</t>
        </r>
      </text>
    </comment>
    <comment ref="I22" authorId="0" shapeId="0" xr:uid="{00000000-0006-0000-0200-000016000000}">
      <text>
        <r>
          <rPr>
            <sz val="11"/>
            <color rgb="FF000000"/>
            <rFont val="Calibri"/>
            <scheme val="minor"/>
          </rPr>
          <t>======
ID#AAAAaSQu_xU
    (2022-06-03 16:21:47)
Sports fields/courts are 10K SF and may only be increased in 10K SF increments.  Select "2" for one park, "4" for two parks, etc</t>
        </r>
      </text>
    </comment>
    <comment ref="M22" authorId="0" shapeId="0" xr:uid="{00000000-0006-0000-0200-000025000000}">
      <text>
        <r>
          <rPr>
            <sz val="11"/>
            <color rgb="FF000000"/>
            <rFont val="Calibri"/>
            <scheme val="minor"/>
          </rPr>
          <t>======
ID#AAAAaSQu_v4
    (2022-06-03 16:21:47)
Sports fields/courts are 10K SF and may only be increased in 10K SF increments.  Select "2" for one park, "4" for two parks, etc</t>
        </r>
      </text>
    </comment>
    <comment ref="Q22" authorId="0" shapeId="0" xr:uid="{00000000-0006-0000-0200-00000B000000}">
      <text>
        <r>
          <rPr>
            <sz val="11"/>
            <color rgb="FF000000"/>
            <rFont val="Calibri"/>
            <scheme val="minor"/>
          </rPr>
          <t>======
ID#AAAAaSQu_x8
    (2022-06-03 16:21:47)
Sports fields/courts are 10K SF and may only be increased in 10K SF increments.  Select "2" for one park, "4" for two parks, etc</t>
        </r>
      </text>
    </comment>
    <comment ref="U22" authorId="0" shapeId="0" xr:uid="{00000000-0006-0000-0200-000039000000}">
      <text>
        <r>
          <rPr>
            <sz val="11"/>
            <color rgb="FF000000"/>
            <rFont val="Calibri"/>
            <scheme val="minor"/>
          </rPr>
          <t>======
ID#AAAAaSQu_uM
    (2022-06-03 16:21:47)
Sports fields/courts are 10K SF and may only be increased in 10K SF increments.  Select "2" for one park, "4" for two courts, etc</t>
        </r>
      </text>
    </comment>
    <comment ref="Y22" authorId="0" shapeId="0" xr:uid="{00000000-0006-0000-0200-000035000000}">
      <text>
        <r>
          <rPr>
            <sz val="11"/>
            <color rgb="FF000000"/>
            <rFont val="Calibri"/>
            <scheme val="minor"/>
          </rPr>
          <t>======
ID#AAAAaSQu_uc
    (2022-06-03 16:21:47)
Sports fields/courts are 10K SF and may only be increased in 10K SF increments.  Select "2" for one park, "4" for two courts, etc</t>
        </r>
      </text>
    </comment>
    <comment ref="E23" authorId="0" shapeId="0" xr:uid="{00000000-0006-0000-0200-000046000000}">
      <text>
        <r>
          <rPr>
            <sz val="11"/>
            <color rgb="FF000000"/>
            <rFont val="Calibri"/>
            <scheme val="minor"/>
          </rPr>
          <t>======
ID#AAAAaSQu_tE
    (2022-06-03 16:21:47)
Skateparks are 10K SF and may only be increased in 10K SF increments.  Select "2" for one park, "4" for two parks, etc</t>
        </r>
      </text>
    </comment>
    <comment ref="I23" authorId="0" shapeId="0" xr:uid="{00000000-0006-0000-0200-000036000000}">
      <text>
        <r>
          <rPr>
            <sz val="11"/>
            <color rgb="FF000000"/>
            <rFont val="Calibri"/>
            <scheme val="minor"/>
          </rPr>
          <t>======
ID#AAAAaSQu_uY
    (2022-06-03 16:21:47)
Skateparks are 10K SF and may only be increased in 10K SF increments.  Select "2" for one park, "4" for two parks, etc</t>
        </r>
      </text>
    </comment>
    <comment ref="M23" authorId="0" shapeId="0" xr:uid="{00000000-0006-0000-0200-00001F000000}">
      <text>
        <r>
          <rPr>
            <sz val="11"/>
            <color rgb="FF000000"/>
            <rFont val="Calibri"/>
            <scheme val="minor"/>
          </rPr>
          <t>======
ID#AAAAaSQu_wQ
    (2022-06-03 16:21:47)
Skate Parks are 10K SF and may only be increased in 10K SF increments.  Select "2" for one park, "4" for two parks, etc</t>
        </r>
      </text>
    </comment>
    <comment ref="Q23" authorId="0" shapeId="0" xr:uid="{00000000-0006-0000-0200-000019000000}">
      <text>
        <r>
          <rPr>
            <sz val="11"/>
            <color rgb="FF000000"/>
            <rFont val="Calibri"/>
            <scheme val="minor"/>
          </rPr>
          <t>======
ID#AAAAaSQu_xA
    (2022-06-03 16:21:47)
Sports fields/courts are 10K SF and may only be increased in 10K SF increments.  Select "2" for one park, "4" for two parks, etc</t>
        </r>
      </text>
    </comment>
    <comment ref="U23" authorId="0" shapeId="0" xr:uid="{00000000-0006-0000-0200-000026000000}">
      <text>
        <r>
          <rPr>
            <sz val="11"/>
            <color rgb="FF000000"/>
            <rFont val="Calibri"/>
            <scheme val="minor"/>
          </rPr>
          <t>======
ID#AAAAaSQu_v0
    (2022-06-03 16:21:47)
Sports fields/courts are 10K SF and may only be increased in 10K SF increments.  Select "2" for one park, "4" for two parks, etc</t>
        </r>
      </text>
    </comment>
    <comment ref="Y23" authorId="0" shapeId="0" xr:uid="{00000000-0006-0000-0200-00000A000000}">
      <text>
        <r>
          <rPr>
            <sz val="11"/>
            <color rgb="FF000000"/>
            <rFont val="Calibri"/>
            <scheme val="minor"/>
          </rPr>
          <t>======
ID#AAAAaSQu_yI
    (2022-06-03 16:21:47)
Sports fields/courts are 10K SF and may only be increased in 10K SF increments.  Select "2" for one park, "4" for two parks, etc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naX0o/IvS09BPuZT0NeK+Qcpwy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300-000001000000}">
      <text>
        <r>
          <rPr>
            <sz val="11"/>
            <color rgb="FF000000"/>
            <rFont val="Calibri"/>
            <scheme val="minor"/>
          </rPr>
          <t>======
ID#AAAAaSQu_zA
Marisita Jarvis    (2022-06-03 16:21:47)
if you demolished the Phoenix Hotel this cell must be empty.</t>
        </r>
      </text>
    </comment>
    <comment ref="A12" authorId="0" shapeId="0" xr:uid="{00000000-0006-0000-0300-00000E000000}">
      <text>
        <r>
          <rPr>
            <sz val="11"/>
            <color rgb="FF000000"/>
            <rFont val="Calibri"/>
            <scheme val="minor"/>
          </rPr>
          <t>======
ID#AAAAaSQu_vw
Marisita Jarvis    (2022-06-03 16:21:47)
If rehabbed, Phoenix Hotel is automatically a shelter unless you input numbers in retail and/or office.</t>
        </r>
      </text>
    </comment>
    <comment ref="D12" authorId="0" shapeId="0" xr:uid="{00000000-0006-0000-0300-000014000000}">
      <text>
        <r>
          <rPr>
            <sz val="11"/>
            <color rgb="FF000000"/>
            <rFont val="Calibri"/>
            <scheme val="minor"/>
          </rPr>
          <t>======
ID#AAAAaSQu_t8
Marisita Jarvis    (2022-06-03 16:21:47)
if you demolished the Phoenix Hotel this cell must be empty.</t>
        </r>
      </text>
    </comment>
    <comment ref="B13" authorId="0" shapeId="0" xr:uid="{00000000-0006-0000-0300-00000C000000}">
      <text>
        <r>
          <rPr>
            <sz val="11"/>
            <color rgb="FF000000"/>
            <rFont val="Calibri"/>
            <scheme val="minor"/>
          </rPr>
          <t>======
ID#AAAAaSQu_wY
    (2022-06-03 16:21:47)
if you demolished the Phoenix Hotel this cell must be empty.</t>
        </r>
      </text>
    </comment>
    <comment ref="C17" authorId="0" shapeId="0" xr:uid="{00000000-0006-0000-0300-000006000000}">
      <text>
        <r>
          <rPr>
            <sz val="11"/>
            <color rgb="FF000000"/>
            <rFont val="Calibri"/>
            <scheme val="minor"/>
          </rPr>
          <t>======
ID#AAAAaSQu_x4
    (2022-06-03 16:21:47)
if you demolished Victorian Row this cell must be empty</t>
        </r>
      </text>
    </comment>
    <comment ref="D18" authorId="0" shapeId="0" xr:uid="{00000000-0006-0000-0300-00000B000000}">
      <text>
        <r>
          <rPr>
            <sz val="11"/>
            <color rgb="FF000000"/>
            <rFont val="Calibri"/>
            <scheme val="minor"/>
          </rPr>
          <t>======
ID#AAAAaSQu_wc
    (2022-06-03 16:21:47)
If you demolished Victorian Row this cell must be empty.</t>
        </r>
      </text>
    </comment>
    <comment ref="D19" authorId="0" shapeId="0" xr:uid="{00000000-0006-0000-0300-000010000000}">
      <text>
        <r>
          <rPr>
            <sz val="11"/>
            <color rgb="FF000000"/>
            <rFont val="Calibri"/>
            <scheme val="minor"/>
          </rPr>
          <t>======
ID#AAAAaSQu_vk
    (2022-06-03 16:21:47)
If you demolished Victorian Row this cell must be empty.</t>
        </r>
      </text>
    </comment>
    <comment ref="A20" authorId="0" shapeId="0" xr:uid="{00000000-0006-0000-0300-000005000000}">
      <text>
        <r>
          <rPr>
            <sz val="11"/>
            <color rgb="FF000000"/>
            <rFont val="Calibri"/>
            <scheme val="minor"/>
          </rPr>
          <t>======
ID#AAAAaSQu_yo
    (2022-06-03 16:21:47)
DO NOT input Office SF in Office row of gray cells. The program will calculate the amount of office space remaining after you input Retail &amp; Community SF.</t>
        </r>
      </text>
    </comment>
    <comment ref="A25" authorId="0" shapeId="0" xr:uid="{00000000-0006-0000-0300-000012000000}">
      <text>
        <r>
          <rPr>
            <sz val="11"/>
            <color rgb="FF000000"/>
            <rFont val="Calibri"/>
            <scheme val="minor"/>
          </rPr>
          <t>======
ID#AAAAaSQu_u8
    (2022-06-03 16:21:47)
Select from drop-down menu in "Community" Column</t>
        </r>
      </text>
    </comment>
    <comment ref="D25" authorId="0" shapeId="0" xr:uid="{00000000-0006-0000-0300-000016000000}">
      <text>
        <r>
          <rPr>
            <sz val="11"/>
            <color rgb="FF000000"/>
            <rFont val="Calibri"/>
            <scheme val="minor"/>
          </rPr>
          <t>======
ID#AAAAaSQu_tg
    (2022-06-03 16:21:47)
Select the square footage of this space from the drop down box.</t>
        </r>
      </text>
    </comment>
    <comment ref="D26" authorId="0" shapeId="0" xr:uid="{00000000-0006-0000-0300-00000F000000}">
      <text>
        <r>
          <rPr>
            <sz val="11"/>
            <color rgb="FF000000"/>
            <rFont val="Calibri"/>
            <scheme val="minor"/>
          </rPr>
          <t>======
ID#AAAAaSQu_vs
    (2022-06-03 16:21:47)
Select the square footage of this space from the drop down box.</t>
        </r>
      </text>
    </comment>
    <comment ref="D27" authorId="0" shapeId="0" xr:uid="{00000000-0006-0000-0300-000004000000}">
      <text>
        <r>
          <rPr>
            <sz val="11"/>
            <color rgb="FF000000"/>
            <rFont val="Calibri"/>
            <scheme val="minor"/>
          </rPr>
          <t>======
ID#AAAAaSQu_y0
    (2022-06-03 16:21:47)
Select the square footage of this space from the drop down box.</t>
        </r>
      </text>
    </comment>
    <comment ref="D28" authorId="0" shapeId="0" xr:uid="{00000000-0006-0000-0300-000003000000}">
      <text>
        <r>
          <rPr>
            <sz val="11"/>
            <color rgb="FF000000"/>
            <rFont val="Calibri"/>
            <scheme val="minor"/>
          </rPr>
          <t>======
ID#AAAAaSQu_y4
    (2022-06-03 16:21:47)
Select the square footage of this space from the drop down box.</t>
        </r>
      </text>
    </comment>
    <comment ref="D29" authorId="0" shapeId="0" xr:uid="{00000000-0006-0000-0300-000017000000}">
      <text>
        <r>
          <rPr>
            <sz val="11"/>
            <color rgb="FF000000"/>
            <rFont val="Calibri"/>
            <scheme val="minor"/>
          </rPr>
          <t>======
ID#AAAAaSQu_tI
    (2022-06-03 16:21:47)
Select the square footage of this space from the drop down box.</t>
        </r>
      </text>
    </comment>
    <comment ref="D30" authorId="0" shapeId="0" xr:uid="{00000000-0006-0000-0300-000013000000}">
      <text>
        <r>
          <rPr>
            <sz val="11"/>
            <color rgb="FF000000"/>
            <rFont val="Calibri"/>
            <scheme val="minor"/>
          </rPr>
          <t>======
ID#AAAAaSQu_uo
    (2022-06-03 16:21:47)
Select the square footage of this space from the drop down box.</t>
        </r>
      </text>
    </comment>
    <comment ref="D31" authorId="0" shapeId="0" xr:uid="{00000000-0006-0000-0300-000008000000}">
      <text>
        <r>
          <rPr>
            <sz val="11"/>
            <color rgb="FF000000"/>
            <rFont val="Calibri"/>
            <scheme val="minor"/>
          </rPr>
          <t>======
ID#AAAAaSQu_xE
    (2022-06-03 16:21:47)
Select the square footage of this space from the drop down box.</t>
        </r>
      </text>
    </comment>
    <comment ref="D32" authorId="0" shapeId="0" xr:uid="{00000000-0006-0000-0300-000015000000}">
      <text>
        <r>
          <rPr>
            <sz val="11"/>
            <color rgb="FF000000"/>
            <rFont val="Calibri"/>
            <scheme val="minor"/>
          </rPr>
          <t>======
ID#AAAAaSQu_t4
    (2022-06-03 16:21:47)
Select the square footage of this space from the drop down box.</t>
        </r>
      </text>
    </comment>
    <comment ref="D33" authorId="0" shapeId="0" xr:uid="{00000000-0006-0000-0300-000007000000}">
      <text>
        <r>
          <rPr>
            <sz val="11"/>
            <color rgb="FF000000"/>
            <rFont val="Calibri"/>
            <scheme val="minor"/>
          </rPr>
          <t>======
ID#AAAAaSQu_xI
    (2022-06-03 16:21:47)
Select the square footage of this space from the drop down box.</t>
        </r>
      </text>
    </comment>
    <comment ref="D34" authorId="0" shapeId="0" xr:uid="{00000000-0006-0000-0300-000002000000}">
      <text>
        <r>
          <rPr>
            <sz val="11"/>
            <color rgb="FF000000"/>
            <rFont val="Calibri"/>
            <scheme val="minor"/>
          </rPr>
          <t>======
ID#AAAAaSQu_y8
    (2022-06-03 16:21:47)
Select the square footage of this space from the drop down box.</t>
        </r>
      </text>
    </comment>
    <comment ref="D35" authorId="0" shapeId="0" xr:uid="{00000000-0006-0000-0300-00000D000000}">
      <text>
        <r>
          <rPr>
            <sz val="11"/>
            <color rgb="FF000000"/>
            <rFont val="Calibri"/>
            <scheme val="minor"/>
          </rPr>
          <t>======
ID#AAAAaSQu_wU
    (2022-06-03 16:21:47)
Select the square footage of this space from the drop down box.</t>
        </r>
      </text>
    </comment>
    <comment ref="D36" authorId="0" shapeId="0" xr:uid="{00000000-0006-0000-0300-000011000000}">
      <text>
        <r>
          <rPr>
            <sz val="11"/>
            <color rgb="FF000000"/>
            <rFont val="Calibri"/>
            <scheme val="minor"/>
          </rPr>
          <t>======
ID#AAAAaSQu_vM
    (2022-06-03 16:21:47)
Select the square footage of this space from the drop down box.</t>
        </r>
      </text>
    </comment>
    <comment ref="D37" authorId="0" shapeId="0" xr:uid="{00000000-0006-0000-0300-000009000000}">
      <text>
        <r>
          <rPr>
            <sz val="11"/>
            <color rgb="FF000000"/>
            <rFont val="Calibri"/>
            <scheme val="minor"/>
          </rPr>
          <t>======
ID#AAAAaSQu_w8
    (2022-06-03 16:21:47)
Select the square footage of this space from the drop down box.</t>
        </r>
      </text>
    </comment>
    <comment ref="A38" authorId="0" shapeId="0" xr:uid="{00000000-0006-0000-0300-00000A000000}">
      <text>
        <r>
          <rPr>
            <sz val="11"/>
            <color rgb="FF000000"/>
            <rFont val="Calibri"/>
            <scheme val="minor"/>
          </rPr>
          <t>======
ID#AAAAaSQu_wk
    (2022-06-03 16:21:47)
DO NOT input Office SF in Office row of gray cells. The program will calculate the amount of office space remaining after you input Retail &amp; Community SF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Wr197/vwME+QXHo0NU8ezL9JRe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400-000002000000}">
      <text>
        <r>
          <rPr>
            <sz val="11"/>
            <color rgb="FF000000"/>
            <rFont val="Calibri"/>
            <scheme val="minor"/>
          </rPr>
          <t>======
ID#AAAAaSQu_tA
    (2022-06-03 16:21:47)
Affordable units require more complex financing and documentation and as a result are more expensive to build.</t>
        </r>
      </text>
    </comment>
    <comment ref="C7" authorId="0" shapeId="0" xr:uid="{00000000-0006-0000-0400-000001000000}">
      <text>
        <r>
          <rPr>
            <sz val="11"/>
            <color rgb="FF000000"/>
            <rFont val="Calibri"/>
            <scheme val="minor"/>
          </rPr>
          <t>======
ID#AAAAaSQu_ws
    (2022-06-03 16:21:47)
Affordable units require more complex financing and documentation and as a result are more expensive to build.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8DjN6GwGZ69kV5cIohPh/sQg/w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600-000001000000}">
      <text>
        <r>
          <rPr>
            <sz val="11"/>
            <color rgb="FF000000"/>
            <rFont val="Calibri"/>
            <scheme val="minor"/>
          </rPr>
          <t>======
ID#AAAAaSQu_ts
    (2022-06-03 16:21:47)
Office space in York, Phoenix and Victorian Low Rise Office uses and are included in this Years to Absorb category</t>
        </r>
      </text>
    </comment>
    <comment ref="F22" authorId="0" shapeId="0" xr:uid="{00000000-0006-0000-0600-000002000000}">
      <text>
        <r>
          <rPr>
            <sz val="11"/>
            <color rgb="FF000000"/>
            <rFont val="Calibri"/>
            <scheme val="minor"/>
          </rPr>
          <t>======
ID#AAAAaSQu_s8
    (2022-06-03 16:21:47)
Retail space in York, Phoenix and Victorian Neighborhood Retail  uses and are included in this Years to Absorb category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SW6s3LeiquOyZb0sjDvM1vugMnA=="/>
    </ext>
  </extLst>
</comments>
</file>

<file path=xl/sharedStrings.xml><?xml version="1.0" encoding="utf-8"?>
<sst xmlns="http://schemas.openxmlformats.org/spreadsheetml/2006/main" count="930" uniqueCount="318">
  <si>
    <t>UrbanPlan Financial Model Instructions</t>
  </si>
  <si>
    <t>COLOR CODE FOR CELLS:</t>
  </si>
  <si>
    <t xml:space="preserve"> = </t>
  </si>
  <si>
    <t>Input Cell.</t>
  </si>
  <si>
    <t>a) Teams enter information into these cells. Input into CREAM cells only, except as instructed on the Use Allocation Sheet</t>
  </si>
  <si>
    <t>b) Click on the grey or black arrow to the right of the input box in order to select the input for the cell from the dropdown box.</t>
  </si>
  <si>
    <t>c) Some cells also will have a red or black triangle in the upper right-hand corner which will display additional information if you hover your cursor over it.</t>
  </si>
  <si>
    <t>d) Only the "Development by Block" and "Use Allocation" pages require input.</t>
  </si>
  <si>
    <r>
      <rPr>
        <sz val="10"/>
        <color theme="1"/>
        <rFont val="Arial"/>
      </rPr>
      <t xml:space="preserve">e) </t>
    </r>
    <r>
      <rPr>
        <b/>
        <sz val="11"/>
        <color theme="1"/>
        <rFont val="Calibri"/>
      </rPr>
      <t xml:space="preserve">Make sure you create a new Copy of the model for each scenario that you test. </t>
    </r>
    <r>
      <rPr>
        <sz val="11"/>
        <color rgb="FF000000"/>
        <rFont val="Calibri"/>
      </rPr>
      <t>Rename each scenario, so that you can reference them.</t>
    </r>
  </si>
  <si>
    <t>=</t>
  </si>
  <si>
    <t>General Information Cells.</t>
  </si>
  <si>
    <t>a) These cells provide general information about the project parameters and progress.</t>
  </si>
  <si>
    <t xml:space="preserve">b) Some General Information Cells are fixed, while others automatically make calculations based on what students enter into the Input Cells. </t>
  </si>
  <si>
    <t>c) These cells are locked as changes to these cells or the program will produce incorrect results.</t>
  </si>
  <si>
    <t>Block</t>
  </si>
  <si>
    <t>Development by Block</t>
  </si>
  <si>
    <t>Residential</t>
  </si>
  <si>
    <t xml:space="preserve"> - Podium Apartments </t>
  </si>
  <si>
    <t xml:space="preserve"> - Townhouses</t>
  </si>
  <si>
    <t xml:space="preserve"> - Luxury High Rise Condos</t>
  </si>
  <si>
    <t xml:space="preserve"> - Homeless Shelter</t>
  </si>
  <si>
    <t>Office</t>
  </si>
  <si>
    <t>Buildings</t>
  </si>
  <si>
    <t xml:space="preserve"> - Low-Rise Office Building 1-A / 1-B</t>
  </si>
  <si>
    <t xml:space="preserve"> - Low-Rise Office Building 2</t>
  </si>
  <si>
    <t xml:space="preserve"> - Mid-Rise Office Building</t>
  </si>
  <si>
    <t>Retail</t>
  </si>
  <si>
    <t xml:space="preserve"> - Neighborhood Retail</t>
  </si>
  <si>
    <t xml:space="preserve">  - Supermarket </t>
  </si>
  <si>
    <t xml:space="preserve">  - Q-Mart </t>
  </si>
  <si>
    <t>Historic Buildings - Adaptive Use</t>
  </si>
  <si>
    <t xml:space="preserve"> - Phoenix Hotel - Block#2</t>
  </si>
  <si>
    <t xml:space="preserve"> - York Dry Goods - Block #3</t>
  </si>
  <si>
    <t xml:space="preserve"> - Victorian Row - Block #4</t>
  </si>
  <si>
    <t>Amenities</t>
  </si>
  <si>
    <t xml:space="preserve"> - Park/Plaza</t>
  </si>
  <si>
    <t xml:space="preserve"> - Sports Fields &amp; Courts</t>
  </si>
  <si>
    <t xml:space="preserve"> - Skate Park</t>
  </si>
  <si>
    <t>Use Allocation</t>
  </si>
  <si>
    <t xml:space="preserve"> - Podium Apartments (footnote 1)</t>
  </si>
  <si>
    <t xml:space="preserve"> - Townhouses (footnote 1)</t>
  </si>
  <si>
    <t>Adaptive Reuses</t>
  </si>
  <si>
    <t xml:space="preserve"> - Phoenix Hotel (footnote 2)</t>
  </si>
  <si>
    <t>TOTALS</t>
  </si>
  <si>
    <t xml:space="preserve"> - York Dry Goods (48,000 sq.ft)</t>
  </si>
  <si>
    <t xml:space="preserve">      Retail (12,000 max. 1st fl only)</t>
  </si>
  <si>
    <t xml:space="preserve">      Branch Library (7500 sq.ft.)</t>
  </si>
  <si>
    <t xml:space="preserve">      Community Art Space (2,000 sq. ft.) (footnote 3)</t>
  </si>
  <si>
    <t xml:space="preserve">      Community Meeting/Event Space (7,000 sq. ft.)</t>
  </si>
  <si>
    <t xml:space="preserve">      Computer/Digital Center  (2,000 sq. ft.)</t>
  </si>
  <si>
    <t xml:space="preserve">      Day Care Center (5,000 sq. ft.)</t>
  </si>
  <si>
    <t xml:space="preserve">      Drug Treatment Center (2,000 sq. ft.)</t>
  </si>
  <si>
    <t xml:space="preserve">      Juv. Offender Counseling (1,000 sq. ft.)</t>
  </si>
  <si>
    <t xml:space="preserve">      Police Sub-station (1,500 sq. ft.)</t>
  </si>
  <si>
    <t xml:space="preserve">      Senior Center (10,000 sq. ft.)</t>
  </si>
  <si>
    <t xml:space="preserve">      Teen Center (5,000 sq. ft.)</t>
  </si>
  <si>
    <t xml:space="preserve">      Yorktown Bike Share (5,000 sq. ft.)</t>
  </si>
  <si>
    <t xml:space="preserve">      Artist Studios (10,000 sq. ft.) (footnote  3 &amp; footnote 5)</t>
  </si>
  <si>
    <t xml:space="preserve">      Univ. Classrooms (20,000 sq. ft.) (footnote  4 &amp; footnote  5)</t>
  </si>
  <si>
    <t xml:space="preserve">      Office (remainder)</t>
  </si>
  <si>
    <t xml:space="preserve"> - Victorian Row (60,000 sq. ft.)</t>
  </si>
  <si>
    <t xml:space="preserve">      Retail (18,000 sq. ft. max.)</t>
  </si>
  <si>
    <t xml:space="preserve">      Univ. Classrooms (20,000 sq. ft.) (footnote  4)</t>
  </si>
  <si>
    <t>Error Check</t>
  </si>
  <si>
    <t>WORKSHEET #1: DEVELOPMENT BY BLOCK (INPUT PAGE)</t>
  </si>
  <si>
    <t>Block #</t>
  </si>
  <si>
    <t>Building Descriptions and Parking</t>
  </si>
  <si>
    <t>Footprint</t>
  </si>
  <si>
    <t>sf/building</t>
  </si>
  <si>
    <t>BLOCK #1 (120,000 SF)</t>
  </si>
  <si>
    <t>BLOCK #2 (120,000 SF)</t>
  </si>
  <si>
    <t>BLOCK #3 (80,000 SF)</t>
  </si>
  <si>
    <t>BLOCK #4 (80,000 SF)</t>
  </si>
  <si>
    <t>BLOCK #5 (60,000 SF)</t>
  </si>
  <si>
    <t>BLOCK #6 (40,000 SF)</t>
  </si>
  <si>
    <t>Total Project</t>
  </si>
  <si>
    <t>Land Area</t>
  </si>
  <si>
    <t>Square Feet</t>
  </si>
  <si>
    <t>Units</t>
  </si>
  <si>
    <t>Total Units</t>
  </si>
  <si>
    <t>Footprint SF</t>
  </si>
  <si>
    <t>Parking Included</t>
  </si>
  <si>
    <t>5 stories; 20 units per 10,000 SF footprint w/ground level parking at base of building</t>
  </si>
  <si>
    <t>3 stories; 6 units per 10,000 SF footprint w/ground level parking at base of building</t>
  </si>
  <si>
    <t xml:space="preserve"> - Luxury Condos</t>
  </si>
  <si>
    <t>10 stories; 48 units per 20,000 SF footprint w/structured parking at base of buildiing</t>
  </si>
  <si>
    <t>3 stories; 120 beds per 20,000 SF footprint; no parking</t>
  </si>
  <si>
    <t>Building SF</t>
  </si>
  <si>
    <t>Parking Required</t>
  </si>
  <si>
    <t>Total SF</t>
  </si>
  <si>
    <t>4 stories; 60,000 SF; 3 levels of parking in separate structure on same block as office bldg</t>
  </si>
  <si>
    <t>4 stories; 80,000 SF; 3 levels in separate parking structure on same block as office bldg</t>
  </si>
  <si>
    <t>8 stories; 120,000 SF; 5 levels of parking in separate parking structure on same block as office bldg</t>
  </si>
  <si>
    <t>1 story, 10,000 SF building; 5,000 SF increments; surface parking</t>
  </si>
  <si>
    <t xml:space="preserve"> - Supermarket</t>
  </si>
  <si>
    <t>1 story, 40,000 SF building; roof and surface parking</t>
  </si>
  <si>
    <t xml:space="preserve"> - Q-Mart</t>
  </si>
  <si>
    <t>2 story, 80,000 SF;  ground-level parking at base of building plus 3 levels structured parking</t>
  </si>
  <si>
    <t>Existing Buildings - Adaptive Use</t>
  </si>
  <si>
    <t xml:space="preserve"> - Phoenix Hotel - Block #2</t>
  </si>
  <si>
    <t>3 stories; 60,000 SF building; 20,000 SF footprint; no required parking</t>
  </si>
  <si>
    <t>4 stories, 48,000 SF building; 20,000 SF footprint; no required parking</t>
  </si>
  <si>
    <t>4 3-story buildings; 60,000 SF total buildings; 40,000 SF footprint; no required parking</t>
  </si>
  <si>
    <t>At grade, minimum 5,000 SF footprint; no required parking</t>
  </si>
  <si>
    <t>At grade; minimum 10,000 SF footprint; no required parking</t>
  </si>
  <si>
    <t>Parking</t>
  </si>
  <si>
    <t>Parking Spaces</t>
  </si>
  <si>
    <t>Total Spaces</t>
  </si>
  <si>
    <t xml:space="preserve"> - Residential: Type Varies with Use</t>
  </si>
  <si>
    <t>Requirement varies with residential use: footprint already included in residential structure footprint</t>
  </si>
  <si>
    <t xml:space="preserve"> - Neighborhood Retail: Surface Parking</t>
  </si>
  <si>
    <t>3 spaces per 1000 SF footprint</t>
  </si>
  <si>
    <t xml:space="preserve"> - Office Low-Rise: Structured Parking (3 levels)</t>
  </si>
  <si>
    <t>80-100 spaces per 10,000 SF footprint</t>
  </si>
  <si>
    <t xml:space="preserve"> - Office Mid-Rise: Structured Parking (5 levels)</t>
  </si>
  <si>
    <t xml:space="preserve"> - Supermarket: Parking</t>
  </si>
  <si>
    <t>30 spaces per 10,000 SF footprint; building includes 40,000 SF roof parking</t>
  </si>
  <si>
    <t xml:space="preserve"> - Q-Mart: Structured Parking</t>
  </si>
  <si>
    <t xml:space="preserve">80-100 spaces per 20,000 SF footprint; parking at ground level and 3 levels structured </t>
  </si>
  <si>
    <t>Total Footprint</t>
  </si>
  <si>
    <t>Planned:</t>
  </si>
  <si>
    <t>Maximum:</t>
  </si>
  <si>
    <t>SF Over (Under):</t>
  </si>
  <si>
    <t>WORKSHEET #2: RESIDENTIAL AND HISTORIC BUILDING USE DECISIONS (INPUT PAGE)</t>
  </si>
  <si>
    <t>RESIDENTIAL</t>
  </si>
  <si>
    <t>% Affordable</t>
  </si>
  <si>
    <t>% Market Rate</t>
  </si>
  <si>
    <t>Total</t>
  </si>
  <si>
    <t xml:space="preserve">      Podium Apartments (footnote 1)</t>
  </si>
  <si>
    <t xml:space="preserve">      Townhouses (footnote 1)</t>
  </si>
  <si>
    <t>ADAPTIVE REUSE</t>
  </si>
  <si>
    <t xml:space="preserve"> - Phoenix Hotel (60,000 SF) (footnote 2)</t>
  </si>
  <si>
    <t>Shelter</t>
  </si>
  <si>
    <t xml:space="preserve">      Retail (18,000 SF max.; ground floor only)</t>
  </si>
  <si>
    <t xml:space="preserve">      Homeless Shelter</t>
  </si>
  <si>
    <t xml:space="preserve">      Office </t>
  </si>
  <si>
    <t xml:space="preserve"> - Victorian Row (60,000 SF)</t>
  </si>
  <si>
    <t>Community</t>
  </si>
  <si>
    <t xml:space="preserve">      Artist Studios (10,000 SF) (footnote 3 &amp; footnote 5)</t>
  </si>
  <si>
    <t xml:space="preserve">      Univ. Classrooms (15,000 SF) (footnote 4)</t>
  </si>
  <si>
    <t xml:space="preserve"> - York Dry Goods (48,000 SF)</t>
  </si>
  <si>
    <t>REHABBED</t>
  </si>
  <si>
    <t xml:space="preserve">      Retail (12,000 SF max.; ground floor only)</t>
  </si>
  <si>
    <t xml:space="preserve">      Branch Library (7,500 SF)</t>
  </si>
  <si>
    <t xml:space="preserve">      Community Art Space (2,500 SF) (footnote 3)</t>
  </si>
  <si>
    <t xml:space="preserve">      Community Meeting/Event Space (7,000 SF)</t>
  </si>
  <si>
    <t xml:space="preserve">      Computer/Digital Center (2,000 SF)</t>
  </si>
  <si>
    <t xml:space="preserve">      Day Care Center (3,500 SF)</t>
  </si>
  <si>
    <t xml:space="preserve">      Drug Treatment Center (1,500 SF)</t>
  </si>
  <si>
    <t xml:space="preserve">      Juv. Offender Counseling (1,500 SF)</t>
  </si>
  <si>
    <t xml:space="preserve">      Police Sub-station (1,500 SF)</t>
  </si>
  <si>
    <t xml:space="preserve">      Senior Center (6,000 SF)</t>
  </si>
  <si>
    <t xml:space="preserve">      Teen Center (5,000 SF)</t>
  </si>
  <si>
    <t xml:space="preserve">      Yorktown Bike Share (5,500 SF)</t>
  </si>
  <si>
    <t xml:space="preserve">      Univ. Classrooms (15,000 SF) (footnote 4 &amp; footnote 5)</t>
  </si>
  <si>
    <t>TOTAL ADAPTIVE USES</t>
  </si>
  <si>
    <t>Footnotes:</t>
  </si>
  <si>
    <t>(1) Enter % to be Affordable. The Market Rate % will be calculated automatically.</t>
  </si>
  <si>
    <t>(2) Rehab election must be made under Block #2 in Development by Block worksheet. If Homeless Shelter selected, both office and retail must be 0 SF.</t>
  </si>
  <si>
    <t>(3) Artist studio space may not be located in both York Dry Goods and Victorian Row. The entire 10,000 SF must be in one building or the other.</t>
  </si>
  <si>
    <t>(4) University classroom space may not be divided between York Dry Goods and Victorian Row. The entire 15,000 SF must be in one building or the other.</t>
  </si>
  <si>
    <t>(5) University classroom and artist studio space not subsidized by the City.</t>
  </si>
  <si>
    <t>WORKSHEET #3: CONSTRUCTION COSTS</t>
  </si>
  <si>
    <t>X Cost per Unit/SF</t>
  </si>
  <si>
    <t>Construction Cost</t>
  </si>
  <si>
    <t>X</t>
  </si>
  <si>
    <t>% City Share of Cost</t>
  </si>
  <si>
    <t>Total City Cost</t>
  </si>
  <si>
    <t>Dwelling Units</t>
  </si>
  <si>
    <t>Cost per Unit</t>
  </si>
  <si>
    <t xml:space="preserve"> - Affordable Podium Apartments </t>
  </si>
  <si>
    <t xml:space="preserve"> - Market-Rate Podium Apartments </t>
  </si>
  <si>
    <t xml:space="preserve"> - Affordable Townhouses</t>
  </si>
  <si>
    <t xml:space="preserve"> - Market-Rate Townhouses</t>
  </si>
  <si>
    <t xml:space="preserve"> - Phoenix Hotel/Homeless Shelter</t>
  </si>
  <si>
    <t xml:space="preserve"> - New Homeless Shelter</t>
  </si>
  <si>
    <t>Cost per SF</t>
  </si>
  <si>
    <t xml:space="preserve"> - Office: Phoenix Hotel</t>
  </si>
  <si>
    <t xml:space="preserve"> - Office: York Dry Goods</t>
  </si>
  <si>
    <t xml:space="preserve"> - Office: Victorian Row</t>
  </si>
  <si>
    <t xml:space="preserve"> - Low-Rise Office Building</t>
  </si>
  <si>
    <t xml:space="preserve"> - Retail: Phoenix Hotel</t>
  </si>
  <si>
    <t xml:space="preserve"> - Retail: York Dry Goods</t>
  </si>
  <si>
    <t xml:space="preserve"> - Retail: Victorian Row</t>
  </si>
  <si>
    <t>Community Facilities</t>
  </si>
  <si>
    <t>Total Cost</t>
  </si>
  <si>
    <t xml:space="preserve"> - York Dry Goods/Community Facilities</t>
  </si>
  <si>
    <t xml:space="preserve"> - York Dry Goods/Univ. &amp; Artist Studios</t>
  </si>
  <si>
    <t xml:space="preserve"> - Victorian Row/Univ. &amp; Artist Studios</t>
  </si>
  <si>
    <t xml:space="preserve"> Fees Charged to Developer</t>
  </si>
  <si>
    <t xml:space="preserve"> - Homeless Shelter Fund Fee</t>
  </si>
  <si>
    <t xml:space="preserve"> - Residential Parking: Included In Structure</t>
  </si>
  <si>
    <t xml:space="preserve"> - Neighborhood Retail Surface Parking</t>
  </si>
  <si>
    <t xml:space="preserve"> - Low-Rise Office Structured Parking (3 levels)</t>
  </si>
  <si>
    <t xml:space="preserve"> - Mid-Rise Office Structured Parking (5 levels)</t>
  </si>
  <si>
    <t xml:space="preserve"> - Supermarket Parking</t>
  </si>
  <si>
    <t xml:space="preserve"> - Q-Mart Structured Parking</t>
  </si>
  <si>
    <t>City Cost of Land</t>
  </si>
  <si>
    <t>WORKSHEET #4: JOB CREATION</t>
  </si>
  <si>
    <t>SF per Job</t>
  </si>
  <si>
    <t>Total Jobs</t>
  </si>
  <si>
    <t xml:space="preserve"> - Supermarket </t>
  </si>
  <si>
    <t xml:space="preserve">  - York Dry Goods</t>
  </si>
  <si>
    <t xml:space="preserve">  - Victorian Row</t>
  </si>
  <si>
    <t xml:space="preserve">  - Homeless Shelter</t>
  </si>
  <si>
    <t>WORKSHEET #5: MARKET ABSORPTION</t>
  </si>
  <si>
    <t>Oversupply Calc</t>
  </si>
  <si>
    <t>/</t>
  </si>
  <si>
    <t>Annual Absorption</t>
  </si>
  <si>
    <t>Years to Absorb</t>
  </si>
  <si>
    <t>1=Oversupply</t>
  </si>
  <si>
    <t>Above Market Absorption Years</t>
  </si>
  <si>
    <t>Profit Loss Factor</t>
  </si>
  <si>
    <t>Weight</t>
  </si>
  <si>
    <t xml:space="preserve">  N/A  </t>
  </si>
  <si>
    <t>in Low-Rise</t>
  </si>
  <si>
    <t xml:space="preserve"> - Low-Rise Office Building </t>
  </si>
  <si>
    <t xml:space="preserve">  - Mid-Rise Office Building</t>
  </si>
  <si>
    <t xml:space="preserve">in Neigh. Ret.  </t>
  </si>
  <si>
    <t xml:space="preserve"> - Neighborhood Retail </t>
  </si>
  <si>
    <t>Types of Properties are Oversupplied</t>
  </si>
  <si>
    <t xml:space="preserve"> - York Dry Goods/Univ. &amp; Artist Studio </t>
  </si>
  <si>
    <t xml:space="preserve"> - Supermarket Parking </t>
  </si>
  <si>
    <t>Exceeds Demand:</t>
  </si>
  <si>
    <t>WORKSHEET #6: VALUE</t>
  </si>
  <si>
    <t>VALUE CREATION VARIABLES</t>
  </si>
  <si>
    <t>Value per Unit</t>
  </si>
  <si>
    <t>Market 
Value</t>
  </si>
  <si>
    <t>-</t>
  </si>
  <si>
    <t xml:space="preserve"> Developer 
Cost</t>
  </si>
  <si>
    <t>Absorption Adjustment</t>
  </si>
  <si>
    <t xml:space="preserve"> Developer Profit</t>
  </si>
  <si>
    <t>Developer Profit Per Unit</t>
  </si>
  <si>
    <t>Property Type</t>
  </si>
  <si>
    <t>Rate</t>
  </si>
  <si>
    <t>N/A</t>
  </si>
  <si>
    <t>In Low-Rise</t>
  </si>
  <si>
    <t>In Neigh. Ret.</t>
  </si>
  <si>
    <t xml:space="preserve"> - Victorian Row: Univ. Offices and/or Artist Studios</t>
  </si>
  <si>
    <t>Developer Fees</t>
  </si>
  <si>
    <t>Developer Cost of Land</t>
  </si>
  <si>
    <t>WORKSHEET #7: CITY REVENUE</t>
  </si>
  <si>
    <t>Assessed Value per Unit</t>
  </si>
  <si>
    <t xml:space="preserve"> = Tax Base</t>
  </si>
  <si>
    <t>Annual City Property/
Sales Tax Revenues</t>
  </si>
  <si>
    <t>Annual City 
Lease Payment</t>
  </si>
  <si>
    <t>Revenue over
10-Year Period</t>
  </si>
  <si>
    <t>Assessed Value Ratio</t>
  </si>
  <si>
    <t>Tax Rate</t>
  </si>
  <si>
    <t xml:space="preserve"> - York Dry Goods (City subsidized)</t>
  </si>
  <si>
    <t xml:space="preserve"> - York Dry Goods (Not Subsidized)</t>
  </si>
  <si>
    <t>Total Tax Base</t>
  </si>
  <si>
    <t>Total Tax Revenues</t>
  </si>
  <si>
    <t>City Revenue from Sale of Land</t>
  </si>
  <si>
    <t>Total City Revenue</t>
  </si>
  <si>
    <t>City's Cost of Land</t>
  </si>
  <si>
    <t>City Subsidy</t>
  </si>
  <si>
    <t>City Ten Year Net Revenues</t>
  </si>
  <si>
    <t>Homeless Shelter Fund Fee</t>
  </si>
  <si>
    <t>UrbanPlan Financial Summary</t>
  </si>
  <si>
    <t>Team Name:</t>
  </si>
  <si>
    <t>...........................Allocation..........................</t>
  </si>
  <si>
    <t>Use Program</t>
  </si>
  <si>
    <t>Use</t>
  </si>
  <si>
    <t xml:space="preserve"> Project Financial Performance </t>
  </si>
  <si>
    <t>Market Value</t>
  </si>
  <si>
    <t>Affordable Residential</t>
  </si>
  <si>
    <t xml:space="preserve"> less Construction Cost</t>
  </si>
  <si>
    <t xml:space="preserve"> less Payment for Land</t>
  </si>
  <si>
    <t xml:space="preserve"> less Absorption Adjustment</t>
  </si>
  <si>
    <t>Total Affordable Residential</t>
  </si>
  <si>
    <t xml:space="preserve"> plus City Subsidy</t>
  </si>
  <si>
    <t>Developer Profit</t>
  </si>
  <si>
    <t>Market Residential</t>
  </si>
  <si>
    <t>Rate of Return</t>
  </si>
  <si>
    <t>City Revenue</t>
  </si>
  <si>
    <t>Total Tax Revenue</t>
  </si>
  <si>
    <t>Total Market Residential</t>
  </si>
  <si>
    <t xml:space="preserve"> less: City's Cost of Land</t>
  </si>
  <si>
    <t>Homeless Shelter</t>
  </si>
  <si>
    <t>Beds</t>
  </si>
  <si>
    <t xml:space="preserve"> less: City Costs for Subsidized Uses</t>
  </si>
  <si>
    <t>Total Shelter Beds</t>
  </si>
  <si>
    <t>City Fees</t>
  </si>
  <si>
    <t>Fee to City for Relocating Shelter</t>
  </si>
  <si>
    <t>Job Creation</t>
  </si>
  <si>
    <t>Office Jobs</t>
  </si>
  <si>
    <t>Retail/Entry Level  Jobs</t>
  </si>
  <si>
    <t>Community Facilities Jobs</t>
  </si>
  <si>
    <t>Total Office</t>
  </si>
  <si>
    <t>Residential Affordability (Shelter is not a residence)</t>
  </si>
  <si>
    <t>Market Rate</t>
  </si>
  <si>
    <t>Affordable</t>
  </si>
  <si>
    <t>% of Site Area</t>
  </si>
  <si>
    <t>Park/Plaza</t>
  </si>
  <si>
    <t>Sports Fields &amp; Courts</t>
  </si>
  <si>
    <t>Skate Park</t>
  </si>
  <si>
    <t>Total Retail</t>
  </si>
  <si>
    <t>Total Land for Amenities</t>
  </si>
  <si>
    <t xml:space="preserve"> - York Dry Goods Total</t>
  </si>
  <si>
    <t xml:space="preserve">      Branch Library</t>
  </si>
  <si>
    <t xml:space="preserve">      Community Art Space</t>
  </si>
  <si>
    <t xml:space="preserve">      Community Meeting/Event Space</t>
  </si>
  <si>
    <t xml:space="preserve">      Computer/Digital Center</t>
  </si>
  <si>
    <t xml:space="preserve">      Day Care Center</t>
  </si>
  <si>
    <t xml:space="preserve">      Drug Treatment Center</t>
  </si>
  <si>
    <t xml:space="preserve">      Juv. Offender Counseling</t>
  </si>
  <si>
    <t xml:space="preserve">      Police Sub-station</t>
  </si>
  <si>
    <t xml:space="preserve">      Senior Center</t>
  </si>
  <si>
    <t xml:space="preserve">      Teen Center</t>
  </si>
  <si>
    <t xml:space="preserve">      Yorktown Bike Share</t>
  </si>
  <si>
    <t xml:space="preserve">      Artist Studios</t>
  </si>
  <si>
    <t xml:space="preserve">      Univ. Classrooms</t>
  </si>
  <si>
    <t xml:space="preserve"> - Victorian Row Total</t>
  </si>
  <si>
    <t>Total Community Facilities</t>
  </si>
  <si>
    <t>Total Amenities</t>
  </si>
  <si>
    <t>Spaces</t>
  </si>
  <si>
    <t>Total 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</si>
</sst>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000_);_(* \(#,##0.0000\);_(* &quot;-&quot;??_);_(@_)"/>
    <numFmt numFmtId="168" formatCode="0.0%"/>
    <numFmt numFmtId="169" formatCode="0.0"/>
    <numFmt numFmtId="170" formatCode="_(* #,##0.0_);_(* \(#,##0.0\);_(* &quot;-&quot;??_);_(@_)"/>
    <numFmt numFmtId="171" formatCode="&quot;$&quot;#,##0_);\(&quot;$&quot;#,##0\)"/>
    <numFmt numFmtId="172" formatCode="_(* #,##0.000_);_(* \(#,##0.000\);_(* &quot;-&quot;??_);_(@_)"/>
    <numFmt numFmtId="173" formatCode="&quot;$&quot;#,##0_);[Red]\(&quot;$&quot;#,##0\)"/>
  </numFmts>
  <fonts count="105">
    <font>
      <sz val="11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FFFFFF"/>
      <name val="Arial"/>
    </font>
    <font>
      <sz val="11"/>
      <color rgb="FF000000"/>
      <name val="Arial"/>
    </font>
    <font>
      <b/>
      <sz val="10"/>
      <color rgb="FF0000FF"/>
      <name val="Arial"/>
    </font>
    <font>
      <sz val="11"/>
      <color rgb="FF000000"/>
      <name val="Calibri"/>
    </font>
    <font>
      <sz val="10"/>
      <color rgb="FF000000"/>
      <name val="Arial"/>
    </font>
    <font>
      <b/>
      <sz val="10"/>
      <color rgb="FF000080"/>
      <name val="Arial"/>
    </font>
    <font>
      <sz val="10"/>
      <color rgb="FF000080"/>
      <name val="Arial"/>
    </font>
    <font>
      <u/>
      <sz val="10"/>
      <color rgb="FF002060"/>
      <name val="Arial"/>
    </font>
    <font>
      <b/>
      <sz val="10"/>
      <color rgb="FF002060"/>
      <name val="Arial"/>
    </font>
    <font>
      <sz val="10"/>
      <color rgb="FF002060"/>
      <name val="Arial"/>
    </font>
    <font>
      <b/>
      <sz val="9"/>
      <color theme="1"/>
      <name val="Arial"/>
    </font>
    <font>
      <sz val="11"/>
      <name val="Calibri"/>
    </font>
    <font>
      <b/>
      <sz val="9"/>
      <color rgb="FF0000FF"/>
      <name val="Arial"/>
    </font>
    <font>
      <u/>
      <sz val="10"/>
      <color rgb="FF002060"/>
      <name val="Arial"/>
    </font>
    <font>
      <u/>
      <sz val="10"/>
      <color rgb="FF002060"/>
      <name val="Arial"/>
    </font>
    <font>
      <u/>
      <sz val="10"/>
      <color rgb="FF002060"/>
      <name val="Arial"/>
    </font>
    <font>
      <u/>
      <sz val="10"/>
      <color rgb="FF002060"/>
      <name val="Arial"/>
    </font>
    <font>
      <u/>
      <sz val="10"/>
      <color rgb="FF002060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sz val="9"/>
      <color theme="1"/>
      <name val="Arial"/>
    </font>
    <font>
      <sz val="9"/>
      <color rgb="FFFFFFFF"/>
      <name val="Arial"/>
    </font>
    <font>
      <u/>
      <sz val="10"/>
      <color rgb="FF002060"/>
      <name val="Arial"/>
    </font>
    <font>
      <u/>
      <sz val="10"/>
      <color rgb="FF002060"/>
      <name val="Arial"/>
    </font>
    <font>
      <u/>
      <sz val="10"/>
      <color rgb="FF002060"/>
      <name val="Arial"/>
    </font>
    <font>
      <u/>
      <sz val="10"/>
      <color rgb="FF002060"/>
      <name val="Arial"/>
    </font>
    <font>
      <u/>
      <sz val="10"/>
      <color rgb="FF002060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b/>
      <u/>
      <sz val="10"/>
      <color theme="1"/>
      <name val="Arial"/>
    </font>
    <font>
      <sz val="9"/>
      <color rgb="FF000080"/>
      <name val="Arial"/>
    </font>
    <font>
      <sz val="10"/>
      <color rgb="FF0000FF"/>
      <name val="Arial"/>
    </font>
    <font>
      <b/>
      <sz val="9"/>
      <color rgb="FF000080"/>
      <name val="Arial"/>
    </font>
    <font>
      <sz val="9"/>
      <color rgb="FF0000FF"/>
      <name val="Arial"/>
    </font>
    <font>
      <b/>
      <sz val="10"/>
      <color rgb="FFF6310A"/>
      <name val="Arial"/>
    </font>
    <font>
      <b/>
      <u/>
      <sz val="10"/>
      <color rgb="FF002060"/>
      <name val="Arial"/>
    </font>
    <font>
      <u/>
      <sz val="10"/>
      <color theme="1"/>
      <name val="Arial"/>
    </font>
    <font>
      <b/>
      <sz val="10"/>
      <color rgb="FF000000"/>
      <name val="Arial"/>
    </font>
    <font>
      <u/>
      <sz val="10"/>
      <color theme="1"/>
      <name val="Arial"/>
    </font>
    <font>
      <u/>
      <sz val="10"/>
      <color theme="1"/>
      <name val="Arial"/>
    </font>
    <font>
      <sz val="10"/>
      <color rgb="FFFFFFFF"/>
      <name val="Arial"/>
    </font>
    <font>
      <b/>
      <u/>
      <sz val="10"/>
      <color rgb="FFFFFFFF"/>
      <name val="Arial"/>
    </font>
    <font>
      <b/>
      <u/>
      <sz val="10"/>
      <color rgb="FFFFFFFF"/>
      <name val="Arial"/>
    </font>
    <font>
      <b/>
      <u/>
      <sz val="10"/>
      <color rgb="FFFF0000"/>
      <name val="Arial"/>
    </font>
    <font>
      <b/>
      <u/>
      <sz val="10"/>
      <color rgb="FFFF0000"/>
      <name val="Arial"/>
    </font>
    <font>
      <b/>
      <u/>
      <sz val="10"/>
      <color rgb="FFFF0000"/>
      <name val="Arial"/>
    </font>
    <font>
      <b/>
      <u/>
      <sz val="10"/>
      <color rgb="FF002060"/>
      <name val="Arial"/>
    </font>
    <font>
      <b/>
      <u/>
      <sz val="10"/>
      <color rgb="FFFFFFFF"/>
      <name val="Arial"/>
    </font>
    <font>
      <b/>
      <u/>
      <sz val="10"/>
      <color rgb="FFFF0000"/>
      <name val="Arial"/>
    </font>
    <font>
      <u/>
      <sz val="10"/>
      <color rgb="FF002060"/>
      <name val="Arial"/>
    </font>
    <font>
      <b/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b/>
      <sz val="10"/>
      <color rgb="FFFF0000"/>
      <name val="Arial"/>
    </font>
    <font>
      <sz val="10"/>
      <color rgb="FF000000"/>
      <name val="Calibri"/>
    </font>
    <font>
      <i/>
      <sz val="10"/>
      <color theme="1"/>
      <name val="Arial"/>
    </font>
    <font>
      <u/>
      <sz val="10"/>
      <color theme="1"/>
      <name val="Arial"/>
    </font>
    <font>
      <sz val="10"/>
      <color rgb="FFFF0000"/>
      <name val="Arial"/>
    </font>
    <font>
      <b/>
      <sz val="12"/>
      <color theme="1"/>
      <name val="Arial"/>
    </font>
    <font>
      <b/>
      <sz val="13"/>
      <color rgb="FF000080"/>
      <name val="Arial"/>
    </font>
    <font>
      <i/>
      <sz val="10"/>
      <color rgb="FF000080"/>
      <name val="Arial"/>
    </font>
    <font>
      <i/>
      <sz val="10"/>
      <color rgb="FF000000"/>
      <name val="Arial"/>
    </font>
    <font>
      <b/>
      <sz val="11"/>
      <color theme="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FFFFCC"/>
        <bgColor rgb="FFFFFFCC"/>
      </patternFill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  <fill>
      <patternFill patternType="solid">
        <fgColor rgb="FFDBE5F1"/>
        <bgColor rgb="FFDBE5F1"/>
      </patternFill>
    </fill>
    <fill>
      <patternFill patternType="solid">
        <fgColor rgb="FFFDE9D9"/>
        <bgColor rgb="FFFDE9D9"/>
      </patternFill>
    </fill>
    <fill>
      <patternFill patternType="solid">
        <fgColor rgb="FFF2F2F2"/>
        <bgColor rgb="FFF2F2F2"/>
      </patternFill>
    </fill>
    <fill>
      <patternFill patternType="solid">
        <fgColor rgb="FFDAEEF3"/>
        <bgColor rgb="FFDAEEF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0000FF"/>
        <bgColor rgb="FF0000FF"/>
      </patternFill>
    </fill>
  </fills>
  <borders count="126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E7E6E6"/>
      </right>
      <top style="medium">
        <color rgb="FF000000"/>
      </top>
      <bottom style="thin">
        <color rgb="FFE7E6E6"/>
      </bottom>
      <diagonal/>
    </border>
    <border>
      <left/>
      <right style="thin">
        <color rgb="FFE7E6E6"/>
      </right>
      <top style="medium">
        <color rgb="FF000000"/>
      </top>
      <bottom style="thin">
        <color rgb="FFE7E6E6"/>
      </bottom>
      <diagonal/>
    </border>
    <border>
      <left/>
      <right style="medium">
        <color rgb="FF000000"/>
      </right>
      <top style="medium">
        <color rgb="FF000000"/>
      </top>
      <bottom style="thin">
        <color rgb="FFE7E6E6"/>
      </bottom>
      <diagonal/>
    </border>
    <border>
      <left style="medium">
        <color rgb="FF000000"/>
      </left>
      <right style="thin">
        <color rgb="FFE7E6E6"/>
      </right>
      <top/>
      <bottom style="medium">
        <color rgb="FF000000"/>
      </bottom>
      <diagonal/>
    </border>
    <border>
      <left/>
      <right style="thin">
        <color rgb="FFE7E6E6"/>
      </right>
      <top/>
      <bottom style="medium">
        <color rgb="FF000000"/>
      </bottom>
      <diagonal/>
    </border>
    <border>
      <left/>
      <right style="thin">
        <color rgb="FFE7E6E6"/>
      </right>
      <top style="thin">
        <color rgb="FFE7E6E6"/>
      </top>
      <bottom style="medium">
        <color rgb="FF000000"/>
      </bottom>
      <diagonal/>
    </border>
    <border>
      <left style="medium">
        <color rgb="FF000000"/>
      </left>
      <right style="thin">
        <color theme="1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medium">
        <color rgb="FF000000"/>
      </top>
      <bottom/>
      <diagonal/>
    </border>
    <border>
      <left style="medium">
        <color rgb="FF000000"/>
      </left>
      <right style="thin">
        <color theme="1"/>
      </right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/>
      <bottom style="medium">
        <color rgb="FF000000"/>
      </bottom>
      <diagonal/>
    </border>
    <border>
      <left style="medium">
        <color rgb="FF000000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medium">
        <color rgb="FF000000"/>
      </right>
      <top style="thin">
        <color rgb="FFE7E6E6"/>
      </top>
      <bottom style="thin">
        <color rgb="FFE7E6E6"/>
      </bottom>
      <diagonal/>
    </border>
    <border>
      <left style="medium">
        <color rgb="FF000000"/>
      </left>
      <right style="thin">
        <color rgb="FFE7E6E6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E7E6E6"/>
      </left>
      <right style="thin">
        <color rgb="FFE7E6E6"/>
      </right>
      <top style="medium">
        <color rgb="FF000000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medium">
        <color rgb="FF000000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/>
      <right style="medium">
        <color rgb="FF000000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medium">
        <color rgb="FF000000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medium">
        <color rgb="FF000000"/>
      </left>
      <right style="thin">
        <color rgb="FFE7E6E6"/>
      </right>
      <top style="medium">
        <color rgb="FF000000"/>
      </top>
      <bottom style="medium">
        <color rgb="FF000000"/>
      </bottom>
      <diagonal/>
    </border>
    <border>
      <left style="thin">
        <color rgb="FFE7E6E6"/>
      </left>
      <right style="thin">
        <color rgb="FFE7E6E6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FBFBF"/>
      </left>
      <right style="thin">
        <color rgb="FF000000"/>
      </right>
      <top style="thin">
        <color rgb="FF000000"/>
      </top>
      <bottom/>
      <diagonal/>
    </border>
    <border>
      <left style="thin">
        <color rgb="FFBFBFBF"/>
      </left>
      <right style="thin">
        <color rgb="FF000000"/>
      </right>
      <top/>
      <bottom/>
      <diagonal/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E7E6E6"/>
      </bottom>
      <diagonal/>
    </border>
    <border>
      <left style="thin">
        <color rgb="FF000000"/>
      </left>
      <right style="thin">
        <color rgb="FFBFBFBF"/>
      </right>
      <top/>
      <bottom style="thin">
        <color rgb="FFE7E6E6"/>
      </bottom>
      <diagonal/>
    </border>
    <border>
      <left style="thin">
        <color rgb="FFBFBFBF"/>
      </left>
      <right style="thin">
        <color rgb="FF000000"/>
      </right>
      <top/>
      <bottom style="thin">
        <color rgb="FFE7E6E6"/>
      </bottom>
      <diagonal/>
    </border>
    <border>
      <left style="hair">
        <color rgb="FF000000"/>
      </left>
      <right/>
      <top/>
      <bottom style="thin">
        <color rgb="FFE7E6E6"/>
      </bottom>
      <diagonal/>
    </border>
    <border>
      <left style="thin">
        <color rgb="FF000000"/>
      </left>
      <right/>
      <top/>
      <bottom style="thin">
        <color rgb="FFE7E6E6"/>
      </bottom>
      <diagonal/>
    </border>
    <border>
      <left/>
      <right/>
      <top style="thin">
        <color rgb="FFE7E6E6"/>
      </top>
      <bottom style="thin">
        <color rgb="FFE7E6E6"/>
      </bottom>
      <diagonal/>
    </border>
    <border>
      <left style="thin">
        <color rgb="FF000000"/>
      </left>
      <right style="thin">
        <color rgb="FFBFBFBF"/>
      </right>
      <top style="thin">
        <color rgb="FFE7E6E6"/>
      </top>
      <bottom style="thin">
        <color rgb="FFE7E6E6"/>
      </bottom>
      <diagonal/>
    </border>
    <border>
      <left style="thin">
        <color rgb="FFBFBFBF"/>
      </left>
      <right style="thin">
        <color rgb="FF000000"/>
      </right>
      <top style="thin">
        <color rgb="FFE7E6E6"/>
      </top>
      <bottom style="thin">
        <color rgb="FFE7E6E6"/>
      </bottom>
      <diagonal/>
    </border>
    <border>
      <left style="hair">
        <color rgb="FF000000"/>
      </left>
      <right/>
      <top style="thin">
        <color rgb="FFE7E6E6"/>
      </top>
      <bottom style="thin">
        <color rgb="FFE7E6E6"/>
      </bottom>
      <diagonal/>
    </border>
    <border>
      <left style="thin">
        <color rgb="FF000000"/>
      </left>
      <right style="thin">
        <color rgb="FFBFBFBF"/>
      </right>
      <top/>
      <bottom style="thin">
        <color rgb="FF000000"/>
      </bottom>
      <diagonal/>
    </border>
  </borders>
  <cellStyleXfs count="1">
    <xf numFmtId="0" fontId="0" fillId="0" borderId="0"/>
  </cellStyleXfs>
  <cellXfs count="709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164" fontId="3" fillId="3" borderId="2" xfId="0" applyNumberFormat="1" applyFont="1" applyFill="1" applyBorder="1"/>
    <xf numFmtId="0" fontId="2" fillId="3" borderId="2" xfId="0" applyFont="1" applyFill="1" applyBorder="1"/>
    <xf numFmtId="165" fontId="2" fillId="3" borderId="2" xfId="0" applyNumberFormat="1" applyFont="1" applyFill="1" applyBorder="1"/>
    <xf numFmtId="165" fontId="2" fillId="3" borderId="3" xfId="0" applyNumberFormat="1" applyFont="1" applyFill="1" applyBorder="1"/>
    <xf numFmtId="0" fontId="4" fillId="0" borderId="0" xfId="0" applyFont="1"/>
    <xf numFmtId="0" fontId="2" fillId="0" borderId="0" xfId="0" applyFont="1"/>
    <xf numFmtId="0" fontId="5" fillId="4" borderId="4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/>
    </xf>
    <xf numFmtId="0" fontId="1" fillId="5" borderId="5" xfId="0" applyFont="1" applyFill="1" applyBorder="1"/>
    <xf numFmtId="0" fontId="6" fillId="0" borderId="0" xfId="0" applyFont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/>
    <xf numFmtId="0" fontId="3" fillId="6" borderId="8" xfId="0" applyFont="1" applyFill="1" applyBorder="1" applyAlignment="1">
      <alignment horizontal="center"/>
    </xf>
    <xf numFmtId="0" fontId="7" fillId="0" borderId="0" xfId="0" applyFont="1"/>
    <xf numFmtId="0" fontId="1" fillId="0" borderId="9" xfId="0" applyFont="1" applyBorder="1" applyAlignment="1">
      <alignment horizontal="center" vertical="center"/>
    </xf>
    <xf numFmtId="164" fontId="8" fillId="2" borderId="10" xfId="0" applyNumberFormat="1" applyFont="1" applyFill="1" applyBorder="1"/>
    <xf numFmtId="0" fontId="7" fillId="0" borderId="11" xfId="0" applyFont="1" applyBorder="1"/>
    <xf numFmtId="0" fontId="2" fillId="0" borderId="12" xfId="0" applyFont="1" applyBorder="1" applyAlignment="1">
      <alignment horizontal="center"/>
    </xf>
    <xf numFmtId="164" fontId="9" fillId="2" borderId="1" xfId="0" applyNumberFormat="1" applyFont="1" applyFill="1" applyBorder="1"/>
    <xf numFmtId="166" fontId="6" fillId="7" borderId="13" xfId="0" applyNumberFormat="1" applyFont="1" applyFill="1" applyBorder="1"/>
    <xf numFmtId="164" fontId="8" fillId="2" borderId="2" xfId="0" applyNumberFormat="1" applyFont="1" applyFill="1" applyBorder="1"/>
    <xf numFmtId="0" fontId="10" fillId="5" borderId="14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right"/>
    </xf>
    <xf numFmtId="0" fontId="2" fillId="0" borderId="15" xfId="0" applyFont="1" applyBorder="1" applyAlignment="1">
      <alignment horizontal="center"/>
    </xf>
    <xf numFmtId="164" fontId="9" fillId="2" borderId="16" xfId="0" applyNumberFormat="1" applyFont="1" applyFill="1" applyBorder="1"/>
    <xf numFmtId="166" fontId="6" fillId="7" borderId="17" xfId="0" applyNumberFormat="1" applyFont="1" applyFill="1" applyBorder="1"/>
    <xf numFmtId="0" fontId="2" fillId="0" borderId="18" xfId="0" applyFont="1" applyBorder="1" applyAlignment="1">
      <alignment horizontal="center"/>
    </xf>
    <xf numFmtId="164" fontId="9" fillId="2" borderId="7" xfId="0" applyNumberFormat="1" applyFont="1" applyFill="1" applyBorder="1"/>
    <xf numFmtId="0" fontId="7" fillId="0" borderId="18" xfId="0" applyFont="1" applyBorder="1"/>
    <xf numFmtId="164" fontId="8" fillId="2" borderId="19" xfId="0" applyNumberFormat="1" applyFont="1" applyFill="1" applyBorder="1"/>
    <xf numFmtId="164" fontId="9" fillId="2" borderId="20" xfId="0" applyNumberFormat="1" applyFont="1" applyFill="1" applyBorder="1"/>
    <xf numFmtId="164" fontId="8" fillId="2" borderId="21" xfId="0" applyNumberFormat="1" applyFont="1" applyFill="1" applyBorder="1"/>
    <xf numFmtId="164" fontId="9" fillId="2" borderId="22" xfId="0" applyNumberFormat="1" applyFont="1" applyFill="1" applyBorder="1"/>
    <xf numFmtId="0" fontId="2" fillId="0" borderId="0" xfId="0" applyFont="1" applyAlignment="1">
      <alignment horizontal="center"/>
    </xf>
    <xf numFmtId="0" fontId="3" fillId="6" borderId="19" xfId="0" applyFont="1" applyFill="1" applyBorder="1"/>
    <xf numFmtId="0" fontId="3" fillId="6" borderId="23" xfId="0" applyFont="1" applyFill="1" applyBorder="1" applyAlignment="1">
      <alignment horizontal="center"/>
    </xf>
    <xf numFmtId="164" fontId="11" fillId="0" borderId="24" xfId="0" applyNumberFormat="1" applyFont="1" applyBorder="1"/>
    <xf numFmtId="0" fontId="7" fillId="0" borderId="25" xfId="0" applyFont="1" applyBorder="1"/>
    <xf numFmtId="164" fontId="11" fillId="2" borderId="20" xfId="0" applyNumberFormat="1" applyFont="1" applyFill="1" applyBorder="1"/>
    <xf numFmtId="9" fontId="6" fillId="7" borderId="13" xfId="0" applyNumberFormat="1" applyFont="1" applyFill="1" applyBorder="1"/>
    <xf numFmtId="0" fontId="12" fillId="0" borderId="26" xfId="0" applyFont="1" applyBorder="1"/>
    <xf numFmtId="0" fontId="12" fillId="5" borderId="14" xfId="0" applyFont="1" applyFill="1" applyBorder="1"/>
    <xf numFmtId="0" fontId="7" fillId="0" borderId="27" xfId="0" applyFont="1" applyBorder="1"/>
    <xf numFmtId="0" fontId="7" fillId="0" borderId="28" xfId="0" applyFont="1" applyBorder="1"/>
    <xf numFmtId="164" fontId="11" fillId="0" borderId="27" xfId="0" applyNumberFormat="1" applyFont="1" applyBorder="1"/>
    <xf numFmtId="164" fontId="11" fillId="0" borderId="29" xfId="0" applyNumberFormat="1" applyFont="1" applyBorder="1"/>
    <xf numFmtId="0" fontId="7" fillId="0" borderId="30" xfId="0" applyFont="1" applyBorder="1"/>
    <xf numFmtId="164" fontId="11" fillId="0" borderId="26" xfId="0" applyNumberFormat="1" applyFont="1" applyBorder="1" applyAlignment="1">
      <alignment horizontal="left"/>
    </xf>
    <xf numFmtId="0" fontId="11" fillId="0" borderId="26" xfId="0" applyFont="1" applyBorder="1"/>
    <xf numFmtId="164" fontId="11" fillId="2" borderId="31" xfId="0" applyNumberFormat="1" applyFont="1" applyFill="1" applyBorder="1"/>
    <xf numFmtId="0" fontId="6" fillId="7" borderId="13" xfId="0" applyFont="1" applyFill="1" applyBorder="1"/>
    <xf numFmtId="0" fontId="7" fillId="0" borderId="13" xfId="0" applyFont="1" applyBorder="1"/>
    <xf numFmtId="0" fontId="7" fillId="0" borderId="32" xfId="0" applyFont="1" applyBorder="1"/>
    <xf numFmtId="164" fontId="11" fillId="0" borderId="33" xfId="0" applyNumberFormat="1" applyFont="1" applyBorder="1"/>
    <xf numFmtId="166" fontId="6" fillId="7" borderId="34" xfId="0" applyNumberFormat="1" applyFont="1" applyFill="1" applyBorder="1"/>
    <xf numFmtId="0" fontId="11" fillId="0" borderId="35" xfId="0" applyFont="1" applyBorder="1"/>
    <xf numFmtId="0" fontId="7" fillId="0" borderId="17" xfId="0" applyFont="1" applyBorder="1"/>
    <xf numFmtId="0" fontId="3" fillId="6" borderId="5" xfId="0" applyFont="1" applyFill="1" applyBorder="1" applyAlignment="1">
      <alignment horizontal="center"/>
    </xf>
    <xf numFmtId="164" fontId="1" fillId="2" borderId="5" xfId="0" applyNumberFormat="1" applyFont="1" applyFill="1" applyBorder="1"/>
    <xf numFmtId="164" fontId="1" fillId="0" borderId="5" xfId="0" applyNumberFormat="1" applyFont="1" applyBorder="1"/>
    <xf numFmtId="0" fontId="3" fillId="6" borderId="36" xfId="0" applyFont="1" applyFill="1" applyBorder="1" applyAlignment="1">
      <alignment horizontal="center"/>
    </xf>
    <xf numFmtId="166" fontId="1" fillId="0" borderId="5" xfId="0" applyNumberFormat="1" applyFont="1" applyBorder="1"/>
    <xf numFmtId="0" fontId="3" fillId="6" borderId="37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4" fontId="1" fillId="2" borderId="1" xfId="0" applyNumberFormat="1" applyFont="1" applyFill="1" applyBorder="1" applyAlignment="1">
      <alignment horizontal="left"/>
    </xf>
    <xf numFmtId="164" fontId="13" fillId="2" borderId="1" xfId="0" applyNumberFormat="1" applyFont="1" applyFill="1" applyBorder="1"/>
    <xf numFmtId="164" fontId="1" fillId="2" borderId="1" xfId="0" applyNumberFormat="1" applyFont="1" applyFill="1" applyBorder="1"/>
    <xf numFmtId="164" fontId="3" fillId="3" borderId="38" xfId="0" applyNumberFormat="1" applyFont="1" applyFill="1" applyBorder="1"/>
    <xf numFmtId="164" fontId="3" fillId="3" borderId="7" xfId="0" applyNumberFormat="1" applyFont="1" applyFill="1" applyBorder="1"/>
    <xf numFmtId="0" fontId="3" fillId="3" borderId="4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45" xfId="0" applyNumberFormat="1" applyFont="1" applyFill="1" applyBorder="1"/>
    <xf numFmtId="164" fontId="15" fillId="3" borderId="4" xfId="0" applyNumberFormat="1" applyFont="1" applyFill="1" applyBorder="1"/>
    <xf numFmtId="164" fontId="2" fillId="2" borderId="2" xfId="0" applyNumberFormat="1" applyFont="1" applyFill="1" applyBorder="1" applyAlignment="1">
      <alignment horizontal="center"/>
    </xf>
    <xf numFmtId="0" fontId="16" fillId="8" borderId="46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center"/>
    </xf>
    <xf numFmtId="9" fontId="18" fillId="8" borderId="7" xfId="0" applyNumberFormat="1" applyFont="1" applyFill="1" applyBorder="1" applyAlignment="1">
      <alignment horizontal="center"/>
    </xf>
    <xf numFmtId="0" fontId="19" fillId="8" borderId="47" xfId="0" applyFont="1" applyFill="1" applyBorder="1" applyAlignment="1">
      <alignment horizontal="center"/>
    </xf>
    <xf numFmtId="0" fontId="20" fillId="9" borderId="46" xfId="0" applyFont="1" applyFill="1" applyBorder="1" applyAlignment="1">
      <alignment horizontal="center"/>
    </xf>
    <xf numFmtId="0" fontId="21" fillId="9" borderId="7" xfId="0" applyFont="1" applyFill="1" applyBorder="1" applyAlignment="1">
      <alignment horizontal="center"/>
    </xf>
    <xf numFmtId="9" fontId="22" fillId="9" borderId="7" xfId="0" applyNumberFormat="1" applyFont="1" applyFill="1" applyBorder="1" applyAlignment="1">
      <alignment horizontal="center"/>
    </xf>
    <xf numFmtId="0" fontId="23" fillId="9" borderId="47" xfId="0" applyFont="1" applyFill="1" applyBorder="1" applyAlignment="1">
      <alignment horizontal="center"/>
    </xf>
    <xf numFmtId="0" fontId="24" fillId="10" borderId="46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9" fontId="26" fillId="10" borderId="7" xfId="0" applyNumberFormat="1" applyFont="1" applyFill="1" applyBorder="1" applyAlignment="1">
      <alignment horizontal="center"/>
    </xf>
    <xf numFmtId="0" fontId="27" fillId="10" borderId="47" xfId="0" applyFont="1" applyFill="1" applyBorder="1" applyAlignment="1">
      <alignment horizontal="center"/>
    </xf>
    <xf numFmtId="0" fontId="28" fillId="11" borderId="46" xfId="0" applyFont="1" applyFill="1" applyBorder="1" applyAlignment="1">
      <alignment horizontal="center"/>
    </xf>
    <xf numFmtId="0" fontId="29" fillId="11" borderId="7" xfId="0" applyFont="1" applyFill="1" applyBorder="1" applyAlignment="1">
      <alignment horizontal="center"/>
    </xf>
    <xf numFmtId="9" fontId="30" fillId="11" borderId="7" xfId="0" applyNumberFormat="1" applyFont="1" applyFill="1" applyBorder="1" applyAlignment="1">
      <alignment horizontal="center"/>
    </xf>
    <xf numFmtId="0" fontId="31" fillId="11" borderId="47" xfId="0" applyFont="1" applyFill="1" applyBorder="1" applyAlignment="1">
      <alignment horizontal="center"/>
    </xf>
    <xf numFmtId="0" fontId="32" fillId="12" borderId="46" xfId="0" applyFont="1" applyFill="1" applyBorder="1" applyAlignment="1">
      <alignment horizontal="center"/>
    </xf>
    <xf numFmtId="0" fontId="33" fillId="12" borderId="7" xfId="0" applyFont="1" applyFill="1" applyBorder="1" applyAlignment="1">
      <alignment horizontal="center"/>
    </xf>
    <xf numFmtId="9" fontId="34" fillId="12" borderId="7" xfId="0" applyNumberFormat="1" applyFont="1" applyFill="1" applyBorder="1" applyAlignment="1">
      <alignment horizontal="center"/>
    </xf>
    <xf numFmtId="0" fontId="35" fillId="12" borderId="47" xfId="0" applyFont="1" applyFill="1" applyBorder="1" applyAlignment="1">
      <alignment horizontal="center"/>
    </xf>
    <xf numFmtId="0" fontId="36" fillId="13" borderId="46" xfId="0" applyFont="1" applyFill="1" applyBorder="1" applyAlignment="1">
      <alignment horizontal="center"/>
    </xf>
    <xf numFmtId="0" fontId="37" fillId="13" borderId="7" xfId="0" applyFont="1" applyFill="1" applyBorder="1" applyAlignment="1">
      <alignment horizontal="center"/>
    </xf>
    <xf numFmtId="9" fontId="38" fillId="13" borderId="7" xfId="0" applyNumberFormat="1" applyFont="1" applyFill="1" applyBorder="1" applyAlignment="1">
      <alignment horizontal="center"/>
    </xf>
    <xf numFmtId="0" fontId="39" fillId="13" borderId="47" xfId="0" applyFont="1" applyFill="1" applyBorder="1" applyAlignment="1">
      <alignment horizontal="center"/>
    </xf>
    <xf numFmtId="0" fontId="40" fillId="9" borderId="46" xfId="0" applyFont="1" applyFill="1" applyBorder="1" applyAlignment="1">
      <alignment horizontal="center"/>
    </xf>
    <xf numFmtId="0" fontId="41" fillId="9" borderId="6" xfId="0" applyFont="1" applyFill="1" applyBorder="1" applyAlignment="1">
      <alignment horizontal="right"/>
    </xf>
    <xf numFmtId="0" fontId="42" fillId="9" borderId="1" xfId="0" applyFont="1" applyFill="1" applyBorder="1" applyAlignment="1">
      <alignment horizontal="right"/>
    </xf>
    <xf numFmtId="164" fontId="2" fillId="2" borderId="1" xfId="0" applyNumberFormat="1" applyFont="1" applyFill="1" applyBorder="1"/>
    <xf numFmtId="164" fontId="43" fillId="2" borderId="48" xfId="0" applyNumberFormat="1" applyFont="1" applyFill="1" applyBorder="1"/>
    <xf numFmtId="166" fontId="2" fillId="2" borderId="1" xfId="0" applyNumberFormat="1" applyFont="1" applyFill="1" applyBorder="1"/>
    <xf numFmtId="166" fontId="8" fillId="4" borderId="49" xfId="0" applyNumberFormat="1" applyFont="1" applyFill="1" applyBorder="1" applyAlignment="1">
      <alignment horizontal="right"/>
    </xf>
    <xf numFmtId="166" fontId="2" fillId="8" borderId="1" xfId="0" applyNumberFormat="1" applyFont="1" applyFill="1" applyBorder="1"/>
    <xf numFmtId="166" fontId="2" fillId="8" borderId="1" xfId="0" applyNumberFormat="1" applyFont="1" applyFill="1" applyBorder="1" applyAlignment="1">
      <alignment horizontal="right"/>
    </xf>
    <xf numFmtId="166" fontId="2" fillId="8" borderId="50" xfId="0" applyNumberFormat="1" applyFont="1" applyFill="1" applyBorder="1" applyAlignment="1">
      <alignment horizontal="right"/>
    </xf>
    <xf numFmtId="166" fontId="2" fillId="9" borderId="1" xfId="0" applyNumberFormat="1" applyFont="1" applyFill="1" applyBorder="1"/>
    <xf numFmtId="166" fontId="2" fillId="9" borderId="1" xfId="0" applyNumberFormat="1" applyFont="1" applyFill="1" applyBorder="1" applyAlignment="1">
      <alignment horizontal="right"/>
    </xf>
    <xf numFmtId="166" fontId="2" fillId="9" borderId="50" xfId="0" applyNumberFormat="1" applyFont="1" applyFill="1" applyBorder="1" applyAlignment="1">
      <alignment horizontal="right"/>
    </xf>
    <xf numFmtId="166" fontId="2" fillId="10" borderId="1" xfId="0" applyNumberFormat="1" applyFont="1" applyFill="1" applyBorder="1"/>
    <xf numFmtId="166" fontId="2" fillId="10" borderId="1" xfId="0" applyNumberFormat="1" applyFont="1" applyFill="1" applyBorder="1" applyAlignment="1">
      <alignment horizontal="right"/>
    </xf>
    <xf numFmtId="166" fontId="2" fillId="10" borderId="50" xfId="0" applyNumberFormat="1" applyFont="1" applyFill="1" applyBorder="1" applyAlignment="1">
      <alignment horizontal="right"/>
    </xf>
    <xf numFmtId="166" fontId="8" fillId="4" borderId="49" xfId="0" applyNumberFormat="1" applyFont="1" applyFill="1" applyBorder="1" applyAlignment="1">
      <alignment horizontal="right"/>
    </xf>
    <xf numFmtId="166" fontId="2" fillId="11" borderId="1" xfId="0" applyNumberFormat="1" applyFont="1" applyFill="1" applyBorder="1"/>
    <xf numFmtId="166" fontId="2" fillId="11" borderId="1" xfId="0" applyNumberFormat="1" applyFont="1" applyFill="1" applyBorder="1" applyAlignment="1">
      <alignment horizontal="right"/>
    </xf>
    <xf numFmtId="166" fontId="2" fillId="11" borderId="50" xfId="0" applyNumberFormat="1" applyFont="1" applyFill="1" applyBorder="1" applyAlignment="1">
      <alignment horizontal="right"/>
    </xf>
    <xf numFmtId="166" fontId="2" fillId="12" borderId="1" xfId="0" applyNumberFormat="1" applyFont="1" applyFill="1" applyBorder="1"/>
    <xf numFmtId="166" fontId="2" fillId="12" borderId="1" xfId="0" applyNumberFormat="1" applyFont="1" applyFill="1" applyBorder="1" applyAlignment="1">
      <alignment horizontal="right"/>
    </xf>
    <xf numFmtId="166" fontId="2" fillId="12" borderId="50" xfId="0" applyNumberFormat="1" applyFont="1" applyFill="1" applyBorder="1" applyAlignment="1">
      <alignment horizontal="right"/>
    </xf>
    <xf numFmtId="166" fontId="2" fillId="13" borderId="1" xfId="0" applyNumberFormat="1" applyFont="1" applyFill="1" applyBorder="1"/>
    <xf numFmtId="166" fontId="2" fillId="13" borderId="1" xfId="0" applyNumberFormat="1" applyFont="1" applyFill="1" applyBorder="1" applyAlignment="1">
      <alignment horizontal="right"/>
    </xf>
    <xf numFmtId="166" fontId="2" fillId="13" borderId="50" xfId="0" applyNumberFormat="1" applyFont="1" applyFill="1" applyBorder="1" applyAlignment="1">
      <alignment horizontal="right"/>
    </xf>
    <xf numFmtId="166" fontId="1" fillId="9" borderId="20" xfId="0" applyNumberFormat="1" applyFont="1" applyFill="1" applyBorder="1" applyAlignment="1">
      <alignment horizontal="right"/>
    </xf>
    <xf numFmtId="166" fontId="1" fillId="9" borderId="48" xfId="0" applyNumberFormat="1" applyFont="1" applyFill="1" applyBorder="1" applyAlignment="1">
      <alignment horizontal="right"/>
    </xf>
    <xf numFmtId="166" fontId="1" fillId="9" borderId="1" xfId="0" applyNumberFormat="1" applyFont="1" applyFill="1" applyBorder="1" applyAlignment="1">
      <alignment horizontal="right"/>
    </xf>
    <xf numFmtId="3" fontId="1" fillId="9" borderId="1" xfId="0" applyNumberFormat="1" applyFont="1" applyFill="1" applyBorder="1" applyAlignment="1">
      <alignment horizontal="right"/>
    </xf>
    <xf numFmtId="166" fontId="2" fillId="8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10" borderId="1" xfId="0" applyNumberFormat="1" applyFont="1" applyFill="1" applyBorder="1" applyAlignment="1">
      <alignment horizontal="center"/>
    </xf>
    <xf numFmtId="166" fontId="2" fillId="11" borderId="1" xfId="0" applyNumberFormat="1" applyFont="1" applyFill="1" applyBorder="1" applyAlignment="1">
      <alignment horizontal="center"/>
    </xf>
    <xf numFmtId="166" fontId="2" fillId="12" borderId="1" xfId="0" applyNumberFormat="1" applyFont="1" applyFill="1" applyBorder="1" applyAlignment="1">
      <alignment horizontal="center"/>
    </xf>
    <xf numFmtId="166" fontId="2" fillId="13" borderId="1" xfId="0" applyNumberFormat="1" applyFont="1" applyFill="1" applyBorder="1" applyAlignment="1">
      <alignment horizontal="center"/>
    </xf>
    <xf numFmtId="164" fontId="43" fillId="2" borderId="48" xfId="0" applyNumberFormat="1" applyFont="1" applyFill="1" applyBorder="1" applyAlignment="1">
      <alignment horizontal="left"/>
    </xf>
    <xf numFmtId="164" fontId="3" fillId="3" borderId="51" xfId="0" applyNumberFormat="1" applyFont="1" applyFill="1" applyBorder="1"/>
    <xf numFmtId="164" fontId="44" fillId="3" borderId="52" xfId="0" applyNumberFormat="1" applyFont="1" applyFill="1" applyBorder="1"/>
    <xf numFmtId="164" fontId="2" fillId="2" borderId="1" xfId="0" applyNumberFormat="1" applyFont="1" applyFill="1" applyBorder="1" applyAlignment="1">
      <alignment horizontal="center"/>
    </xf>
    <xf numFmtId="0" fontId="45" fillId="8" borderId="20" xfId="0" applyFont="1" applyFill="1" applyBorder="1" applyAlignment="1">
      <alignment horizontal="center"/>
    </xf>
    <xf numFmtId="0" fontId="46" fillId="8" borderId="1" xfId="0" applyFont="1" applyFill="1" applyBorder="1" applyAlignment="1">
      <alignment horizontal="center"/>
    </xf>
    <xf numFmtId="9" fontId="47" fillId="8" borderId="1" xfId="0" applyNumberFormat="1" applyFont="1" applyFill="1" applyBorder="1" applyAlignment="1">
      <alignment horizontal="center"/>
    </xf>
    <xf numFmtId="0" fontId="48" fillId="8" borderId="50" xfId="0" applyFont="1" applyFill="1" applyBorder="1" applyAlignment="1">
      <alignment horizontal="center"/>
    </xf>
    <xf numFmtId="0" fontId="49" fillId="9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/>
    </xf>
    <xf numFmtId="9" fontId="51" fillId="9" borderId="1" xfId="0" applyNumberFormat="1" applyFont="1" applyFill="1" applyBorder="1" applyAlignment="1">
      <alignment horizontal="center"/>
    </xf>
    <xf numFmtId="0" fontId="52" fillId="9" borderId="50" xfId="0" applyFont="1" applyFill="1" applyBorder="1" applyAlignment="1">
      <alignment horizontal="center"/>
    </xf>
    <xf numFmtId="0" fontId="53" fillId="10" borderId="20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center"/>
    </xf>
    <xf numFmtId="9" fontId="55" fillId="10" borderId="1" xfId="0" applyNumberFormat="1" applyFont="1" applyFill="1" applyBorder="1" applyAlignment="1">
      <alignment horizontal="center"/>
    </xf>
    <xf numFmtId="0" fontId="56" fillId="10" borderId="50" xfId="0" applyFont="1" applyFill="1" applyBorder="1" applyAlignment="1">
      <alignment horizontal="center"/>
    </xf>
    <xf numFmtId="0" fontId="57" fillId="11" borderId="20" xfId="0" applyFont="1" applyFill="1" applyBorder="1" applyAlignment="1">
      <alignment horizontal="center"/>
    </xf>
    <xf numFmtId="0" fontId="58" fillId="11" borderId="1" xfId="0" applyFont="1" applyFill="1" applyBorder="1" applyAlignment="1">
      <alignment horizontal="center"/>
    </xf>
    <xf numFmtId="9" fontId="59" fillId="11" borderId="1" xfId="0" applyNumberFormat="1" applyFont="1" applyFill="1" applyBorder="1" applyAlignment="1">
      <alignment horizontal="center"/>
    </xf>
    <xf numFmtId="0" fontId="60" fillId="11" borderId="50" xfId="0" applyFont="1" applyFill="1" applyBorder="1" applyAlignment="1">
      <alignment horizontal="center"/>
    </xf>
    <xf numFmtId="0" fontId="61" fillId="12" borderId="20" xfId="0" applyFont="1" applyFill="1" applyBorder="1" applyAlignment="1">
      <alignment horizontal="center"/>
    </xf>
    <xf numFmtId="0" fontId="62" fillId="12" borderId="1" xfId="0" applyFont="1" applyFill="1" applyBorder="1" applyAlignment="1">
      <alignment horizontal="center"/>
    </xf>
    <xf numFmtId="9" fontId="63" fillId="12" borderId="1" xfId="0" applyNumberFormat="1" applyFont="1" applyFill="1" applyBorder="1" applyAlignment="1">
      <alignment horizontal="center"/>
    </xf>
    <xf numFmtId="0" fontId="64" fillId="12" borderId="50" xfId="0" applyFont="1" applyFill="1" applyBorder="1" applyAlignment="1">
      <alignment horizontal="center"/>
    </xf>
    <xf numFmtId="0" fontId="65" fillId="13" borderId="20" xfId="0" applyFont="1" applyFill="1" applyBorder="1" applyAlignment="1">
      <alignment horizontal="center"/>
    </xf>
    <xf numFmtId="0" fontId="66" fillId="13" borderId="1" xfId="0" applyFont="1" applyFill="1" applyBorder="1" applyAlignment="1">
      <alignment horizontal="center"/>
    </xf>
    <xf numFmtId="9" fontId="67" fillId="13" borderId="1" xfId="0" applyNumberFormat="1" applyFont="1" applyFill="1" applyBorder="1" applyAlignment="1">
      <alignment horizontal="center"/>
    </xf>
    <xf numFmtId="0" fontId="68" fillId="13" borderId="50" xfId="0" applyFont="1" applyFill="1" applyBorder="1" applyAlignment="1">
      <alignment horizontal="center"/>
    </xf>
    <xf numFmtId="0" fontId="69" fillId="9" borderId="20" xfId="0" applyFont="1" applyFill="1" applyBorder="1" applyAlignment="1">
      <alignment horizontal="center"/>
    </xf>
    <xf numFmtId="0" fontId="1" fillId="9" borderId="48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166" fontId="1" fillId="4" borderId="49" xfId="0" applyNumberFormat="1" applyFont="1" applyFill="1" applyBorder="1" applyAlignment="1">
      <alignment horizontal="right"/>
    </xf>
    <xf numFmtId="164" fontId="70" fillId="3" borderId="52" xfId="0" applyNumberFormat="1" applyFont="1" applyFill="1" applyBorder="1"/>
    <xf numFmtId="166" fontId="71" fillId="2" borderId="1" xfId="0" applyNumberFormat="1" applyFont="1" applyFill="1" applyBorder="1"/>
    <xf numFmtId="0" fontId="2" fillId="10" borderId="20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10" borderId="50" xfId="0" applyFont="1" applyFill="1" applyBorder="1" applyAlignment="1">
      <alignment horizontal="right"/>
    </xf>
    <xf numFmtId="0" fontId="2" fillId="11" borderId="20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2" fillId="11" borderId="50" xfId="0" applyFont="1" applyFill="1" applyBorder="1" applyAlignment="1">
      <alignment horizontal="right"/>
    </xf>
    <xf numFmtId="0" fontId="2" fillId="12" borderId="20" xfId="0" applyFont="1" applyFill="1" applyBorder="1" applyAlignment="1">
      <alignment horizontal="right"/>
    </xf>
    <xf numFmtId="0" fontId="2" fillId="12" borderId="1" xfId="0" applyFont="1" applyFill="1" applyBorder="1" applyAlignment="1">
      <alignment horizontal="right"/>
    </xf>
    <xf numFmtId="0" fontId="2" fillId="12" borderId="50" xfId="0" applyFont="1" applyFill="1" applyBorder="1" applyAlignment="1">
      <alignment horizontal="right"/>
    </xf>
    <xf numFmtId="0" fontId="2" fillId="13" borderId="20" xfId="0" applyFont="1" applyFill="1" applyBorder="1" applyAlignment="1">
      <alignment horizontal="right"/>
    </xf>
    <xf numFmtId="0" fontId="2" fillId="13" borderId="1" xfId="0" applyFont="1" applyFill="1" applyBorder="1" applyAlignment="1">
      <alignment horizontal="right"/>
    </xf>
    <xf numFmtId="0" fontId="2" fillId="13" borderId="50" xfId="0" applyFont="1" applyFill="1" applyBorder="1" applyAlignment="1">
      <alignment horizontal="right"/>
    </xf>
    <xf numFmtId="0" fontId="2" fillId="8" borderId="20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8" borderId="50" xfId="0" applyFont="1" applyFill="1" applyBorder="1" applyAlignment="1">
      <alignment horizontal="right"/>
    </xf>
    <xf numFmtId="0" fontId="2" fillId="9" borderId="20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9" borderId="50" xfId="0" applyFont="1" applyFill="1" applyBorder="1" applyAlignment="1">
      <alignment horizontal="right"/>
    </xf>
    <xf numFmtId="164" fontId="71" fillId="2" borderId="1" xfId="0" applyNumberFormat="1" applyFont="1" applyFill="1" applyBorder="1"/>
    <xf numFmtId="166" fontId="12" fillId="8" borderId="1" xfId="0" applyNumberFormat="1" applyFont="1" applyFill="1" applyBorder="1" applyAlignment="1">
      <alignment horizontal="center"/>
    </xf>
    <xf numFmtId="166" fontId="12" fillId="8" borderId="50" xfId="0" applyNumberFormat="1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50" xfId="0" applyNumberFormat="1" applyFont="1" applyFill="1" applyBorder="1" applyAlignment="1">
      <alignment horizontal="center"/>
    </xf>
    <xf numFmtId="166" fontId="12" fillId="10" borderId="1" xfId="0" applyNumberFormat="1" applyFont="1" applyFill="1" applyBorder="1" applyAlignment="1">
      <alignment horizontal="center"/>
    </xf>
    <xf numFmtId="166" fontId="12" fillId="10" borderId="50" xfId="0" applyNumberFormat="1" applyFont="1" applyFill="1" applyBorder="1" applyAlignment="1">
      <alignment horizontal="center"/>
    </xf>
    <xf numFmtId="166" fontId="12" fillId="11" borderId="1" xfId="0" applyNumberFormat="1" applyFont="1" applyFill="1" applyBorder="1" applyAlignment="1">
      <alignment horizontal="center"/>
    </xf>
    <xf numFmtId="166" fontId="12" fillId="11" borderId="50" xfId="0" applyNumberFormat="1" applyFont="1" applyFill="1" applyBorder="1" applyAlignment="1">
      <alignment horizontal="center"/>
    </xf>
    <xf numFmtId="166" fontId="12" fillId="12" borderId="1" xfId="0" applyNumberFormat="1" applyFont="1" applyFill="1" applyBorder="1" applyAlignment="1">
      <alignment horizontal="center"/>
    </xf>
    <xf numFmtId="166" fontId="12" fillId="12" borderId="50" xfId="0" applyNumberFormat="1" applyFont="1" applyFill="1" applyBorder="1" applyAlignment="1">
      <alignment horizontal="center"/>
    </xf>
    <xf numFmtId="166" fontId="12" fillId="13" borderId="1" xfId="0" applyNumberFormat="1" applyFont="1" applyFill="1" applyBorder="1" applyAlignment="1">
      <alignment horizontal="center"/>
    </xf>
    <xf numFmtId="166" fontId="12" fillId="13" borderId="50" xfId="0" applyNumberFormat="1" applyFont="1" applyFill="1" applyBorder="1" applyAlignment="1">
      <alignment horizontal="center"/>
    </xf>
    <xf numFmtId="166" fontId="2" fillId="8" borderId="20" xfId="0" applyNumberFormat="1" applyFont="1" applyFill="1" applyBorder="1" applyAlignment="1">
      <alignment horizontal="right"/>
    </xf>
    <xf numFmtId="166" fontId="2" fillId="9" borderId="20" xfId="0" applyNumberFormat="1" applyFont="1" applyFill="1" applyBorder="1" applyAlignment="1">
      <alignment horizontal="right"/>
    </xf>
    <xf numFmtId="166" fontId="2" fillId="10" borderId="20" xfId="0" applyNumberFormat="1" applyFont="1" applyFill="1" applyBorder="1" applyAlignment="1">
      <alignment horizontal="right"/>
    </xf>
    <xf numFmtId="166" fontId="2" fillId="11" borderId="20" xfId="0" applyNumberFormat="1" applyFont="1" applyFill="1" applyBorder="1" applyAlignment="1">
      <alignment horizontal="right"/>
    </xf>
    <xf numFmtId="166" fontId="2" fillId="12" borderId="20" xfId="0" applyNumberFormat="1" applyFont="1" applyFill="1" applyBorder="1" applyAlignment="1">
      <alignment horizontal="right"/>
    </xf>
    <xf numFmtId="166" fontId="2" fillId="13" borderId="20" xfId="0" applyNumberFormat="1" applyFont="1" applyFill="1" applyBorder="1" applyAlignment="1">
      <alignment horizontal="right"/>
    </xf>
    <xf numFmtId="164" fontId="2" fillId="2" borderId="53" xfId="0" applyNumberFormat="1" applyFont="1" applyFill="1" applyBorder="1"/>
    <xf numFmtId="166" fontId="2" fillId="8" borderId="22" xfId="0" applyNumberFormat="1" applyFont="1" applyFill="1" applyBorder="1" applyAlignment="1">
      <alignment horizontal="right"/>
    </xf>
    <xf numFmtId="166" fontId="2" fillId="8" borderId="16" xfId="0" applyNumberFormat="1" applyFont="1" applyFill="1" applyBorder="1" applyAlignment="1">
      <alignment horizontal="right"/>
    </xf>
    <xf numFmtId="166" fontId="2" fillId="8" borderId="54" xfId="0" applyNumberFormat="1" applyFont="1" applyFill="1" applyBorder="1" applyAlignment="1">
      <alignment horizontal="right"/>
    </xf>
    <xf numFmtId="166" fontId="2" fillId="9" borderId="22" xfId="0" applyNumberFormat="1" applyFont="1" applyFill="1" applyBorder="1" applyAlignment="1">
      <alignment horizontal="right"/>
    </xf>
    <xf numFmtId="166" fontId="2" fillId="9" borderId="16" xfId="0" applyNumberFormat="1" applyFont="1" applyFill="1" applyBorder="1" applyAlignment="1">
      <alignment horizontal="right"/>
    </xf>
    <xf numFmtId="166" fontId="2" fillId="9" borderId="54" xfId="0" applyNumberFormat="1" applyFont="1" applyFill="1" applyBorder="1" applyAlignment="1">
      <alignment horizontal="right"/>
    </xf>
    <xf numFmtId="166" fontId="2" fillId="10" borderId="22" xfId="0" applyNumberFormat="1" applyFont="1" applyFill="1" applyBorder="1" applyAlignment="1">
      <alignment horizontal="right"/>
    </xf>
    <xf numFmtId="166" fontId="2" fillId="10" borderId="16" xfId="0" applyNumberFormat="1" applyFont="1" applyFill="1" applyBorder="1" applyAlignment="1">
      <alignment horizontal="right"/>
    </xf>
    <xf numFmtId="166" fontId="2" fillId="10" borderId="54" xfId="0" applyNumberFormat="1" applyFont="1" applyFill="1" applyBorder="1" applyAlignment="1">
      <alignment horizontal="right"/>
    </xf>
    <xf numFmtId="166" fontId="2" fillId="11" borderId="22" xfId="0" applyNumberFormat="1" applyFont="1" applyFill="1" applyBorder="1" applyAlignment="1">
      <alignment horizontal="right"/>
    </xf>
    <xf numFmtId="166" fontId="2" fillId="11" borderId="16" xfId="0" applyNumberFormat="1" applyFont="1" applyFill="1" applyBorder="1" applyAlignment="1">
      <alignment horizontal="right"/>
    </xf>
    <xf numFmtId="166" fontId="2" fillId="11" borderId="54" xfId="0" applyNumberFormat="1" applyFont="1" applyFill="1" applyBorder="1" applyAlignment="1">
      <alignment horizontal="right"/>
    </xf>
    <xf numFmtId="166" fontId="2" fillId="12" borderId="22" xfId="0" applyNumberFormat="1" applyFont="1" applyFill="1" applyBorder="1" applyAlignment="1">
      <alignment horizontal="right"/>
    </xf>
    <xf numFmtId="166" fontId="2" fillId="12" borderId="16" xfId="0" applyNumberFormat="1" applyFont="1" applyFill="1" applyBorder="1" applyAlignment="1">
      <alignment horizontal="right"/>
    </xf>
    <xf numFmtId="166" fontId="2" fillId="12" borderId="54" xfId="0" applyNumberFormat="1" applyFont="1" applyFill="1" applyBorder="1" applyAlignment="1">
      <alignment horizontal="right"/>
    </xf>
    <xf numFmtId="166" fontId="2" fillId="13" borderId="22" xfId="0" applyNumberFormat="1" applyFont="1" applyFill="1" applyBorder="1" applyAlignment="1">
      <alignment horizontal="right"/>
    </xf>
    <xf numFmtId="166" fontId="2" fillId="13" borderId="16" xfId="0" applyNumberFormat="1" applyFont="1" applyFill="1" applyBorder="1" applyAlignment="1">
      <alignment horizontal="right"/>
    </xf>
    <xf numFmtId="166" fontId="2" fillId="13" borderId="54" xfId="0" applyNumberFormat="1" applyFont="1" applyFill="1" applyBorder="1" applyAlignment="1">
      <alignment horizontal="right"/>
    </xf>
    <xf numFmtId="166" fontId="1" fillId="9" borderId="22" xfId="0" applyNumberFormat="1" applyFont="1" applyFill="1" applyBorder="1" applyAlignment="1">
      <alignment horizontal="right"/>
    </xf>
    <xf numFmtId="166" fontId="1" fillId="9" borderId="55" xfId="0" applyNumberFormat="1" applyFont="1" applyFill="1" applyBorder="1" applyAlignment="1">
      <alignment horizontal="right"/>
    </xf>
    <xf numFmtId="164" fontId="72" fillId="3" borderId="56" xfId="0" applyNumberFormat="1" applyFont="1" applyFill="1" applyBorder="1"/>
    <xf numFmtId="164" fontId="2" fillId="2" borderId="2" xfId="0" applyNumberFormat="1" applyFont="1" applyFill="1" applyBorder="1"/>
    <xf numFmtId="49" fontId="1" fillId="8" borderId="46" xfId="0" applyNumberFormat="1" applyFont="1" applyFill="1" applyBorder="1" applyAlignment="1">
      <alignment horizontal="right"/>
    </xf>
    <xf numFmtId="166" fontId="1" fillId="8" borderId="47" xfId="0" applyNumberFormat="1" applyFont="1" applyFill="1" applyBorder="1" applyAlignment="1">
      <alignment horizontal="right"/>
    </xf>
    <xf numFmtId="49" fontId="1" fillId="9" borderId="46" xfId="0" applyNumberFormat="1" applyFont="1" applyFill="1" applyBorder="1" applyAlignment="1">
      <alignment horizontal="right"/>
    </xf>
    <xf numFmtId="166" fontId="1" fillId="9" borderId="47" xfId="0" applyNumberFormat="1" applyFont="1" applyFill="1" applyBorder="1" applyAlignment="1">
      <alignment horizontal="right"/>
    </xf>
    <xf numFmtId="49" fontId="1" fillId="10" borderId="46" xfId="0" applyNumberFormat="1" applyFont="1" applyFill="1" applyBorder="1" applyAlignment="1">
      <alignment horizontal="right"/>
    </xf>
    <xf numFmtId="166" fontId="1" fillId="10" borderId="47" xfId="0" applyNumberFormat="1" applyFont="1" applyFill="1" applyBorder="1" applyAlignment="1">
      <alignment horizontal="right"/>
    </xf>
    <xf numFmtId="49" fontId="1" fillId="11" borderId="46" xfId="0" applyNumberFormat="1" applyFont="1" applyFill="1" applyBorder="1" applyAlignment="1">
      <alignment horizontal="right"/>
    </xf>
    <xf numFmtId="166" fontId="1" fillId="11" borderId="47" xfId="0" applyNumberFormat="1" applyFont="1" applyFill="1" applyBorder="1" applyAlignment="1">
      <alignment horizontal="right"/>
    </xf>
    <xf numFmtId="49" fontId="1" fillId="12" borderId="46" xfId="0" applyNumberFormat="1" applyFont="1" applyFill="1" applyBorder="1" applyAlignment="1">
      <alignment horizontal="right"/>
    </xf>
    <xf numFmtId="166" fontId="1" fillId="12" borderId="47" xfId="0" applyNumberFormat="1" applyFont="1" applyFill="1" applyBorder="1" applyAlignment="1">
      <alignment horizontal="right"/>
    </xf>
    <xf numFmtId="49" fontId="1" fillId="13" borderId="46" xfId="0" applyNumberFormat="1" applyFont="1" applyFill="1" applyBorder="1" applyAlignment="1">
      <alignment horizontal="right"/>
    </xf>
    <xf numFmtId="166" fontId="1" fillId="13" borderId="47" xfId="0" applyNumberFormat="1" applyFont="1" applyFill="1" applyBorder="1" applyAlignment="1">
      <alignment horizontal="right"/>
    </xf>
    <xf numFmtId="164" fontId="71" fillId="2" borderId="1" xfId="0" applyNumberFormat="1" applyFont="1" applyFill="1" applyBorder="1" applyAlignment="1">
      <alignment horizontal="center" wrapText="1"/>
    </xf>
    <xf numFmtId="164" fontId="73" fillId="2" borderId="1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wrapText="1"/>
    </xf>
    <xf numFmtId="49" fontId="1" fillId="8" borderId="57" xfId="0" applyNumberFormat="1" applyFont="1" applyFill="1" applyBorder="1" applyAlignment="1">
      <alignment horizontal="right"/>
    </xf>
    <xf numFmtId="166" fontId="1" fillId="8" borderId="58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wrapText="1"/>
    </xf>
    <xf numFmtId="49" fontId="1" fillId="9" borderId="57" xfId="0" applyNumberFormat="1" applyFont="1" applyFill="1" applyBorder="1" applyAlignment="1">
      <alignment horizontal="right"/>
    </xf>
    <xf numFmtId="166" fontId="1" fillId="9" borderId="58" xfId="0" applyNumberFormat="1" applyFont="1" applyFill="1" applyBorder="1" applyAlignment="1">
      <alignment horizontal="right"/>
    </xf>
    <xf numFmtId="49" fontId="1" fillId="10" borderId="57" xfId="0" applyNumberFormat="1" applyFont="1" applyFill="1" applyBorder="1" applyAlignment="1">
      <alignment horizontal="right"/>
    </xf>
    <xf numFmtId="166" fontId="1" fillId="10" borderId="58" xfId="0" applyNumberFormat="1" applyFont="1" applyFill="1" applyBorder="1" applyAlignment="1">
      <alignment horizontal="right"/>
    </xf>
    <xf numFmtId="49" fontId="1" fillId="11" borderId="57" xfId="0" applyNumberFormat="1" applyFont="1" applyFill="1" applyBorder="1" applyAlignment="1">
      <alignment horizontal="right"/>
    </xf>
    <xf numFmtId="166" fontId="1" fillId="11" borderId="58" xfId="0" applyNumberFormat="1" applyFont="1" applyFill="1" applyBorder="1" applyAlignment="1">
      <alignment horizontal="right"/>
    </xf>
    <xf numFmtId="49" fontId="1" fillId="12" borderId="57" xfId="0" applyNumberFormat="1" applyFont="1" applyFill="1" applyBorder="1" applyAlignment="1">
      <alignment horizontal="right"/>
    </xf>
    <xf numFmtId="166" fontId="1" fillId="12" borderId="58" xfId="0" applyNumberFormat="1" applyFont="1" applyFill="1" applyBorder="1" applyAlignment="1">
      <alignment horizontal="right"/>
    </xf>
    <xf numFmtId="49" fontId="1" fillId="13" borderId="57" xfId="0" applyNumberFormat="1" applyFont="1" applyFill="1" applyBorder="1" applyAlignment="1">
      <alignment horizontal="right"/>
    </xf>
    <xf numFmtId="166" fontId="1" fillId="13" borderId="58" xfId="0" applyNumberFormat="1" applyFont="1" applyFill="1" applyBorder="1" applyAlignment="1">
      <alignment horizontal="right"/>
    </xf>
    <xf numFmtId="164" fontId="8" fillId="2" borderId="1" xfId="0" applyNumberFormat="1" applyFont="1" applyFill="1" applyBorder="1"/>
    <xf numFmtId="164" fontId="15" fillId="2" borderId="1" xfId="0" applyNumberFormat="1" applyFont="1" applyFill="1" applyBorder="1"/>
    <xf numFmtId="49" fontId="1" fillId="8" borderId="20" xfId="0" applyNumberFormat="1" applyFont="1" applyFill="1" applyBorder="1" applyAlignment="1">
      <alignment horizontal="right"/>
    </xf>
    <xf numFmtId="166" fontId="1" fillId="8" borderId="50" xfId="0" applyNumberFormat="1" applyFont="1" applyFill="1" applyBorder="1" applyAlignment="1">
      <alignment horizontal="right"/>
    </xf>
    <xf numFmtId="49" fontId="1" fillId="9" borderId="20" xfId="0" applyNumberFormat="1" applyFont="1" applyFill="1" applyBorder="1" applyAlignment="1">
      <alignment horizontal="right"/>
    </xf>
    <xf numFmtId="166" fontId="1" fillId="9" borderId="50" xfId="0" applyNumberFormat="1" applyFont="1" applyFill="1" applyBorder="1" applyAlignment="1">
      <alignment horizontal="right"/>
    </xf>
    <xf numFmtId="49" fontId="1" fillId="10" borderId="20" xfId="0" applyNumberFormat="1" applyFont="1" applyFill="1" applyBorder="1" applyAlignment="1">
      <alignment horizontal="right"/>
    </xf>
    <xf numFmtId="166" fontId="1" fillId="10" borderId="50" xfId="0" applyNumberFormat="1" applyFont="1" applyFill="1" applyBorder="1" applyAlignment="1">
      <alignment horizontal="right"/>
    </xf>
    <xf numFmtId="49" fontId="1" fillId="11" borderId="20" xfId="0" applyNumberFormat="1" applyFont="1" applyFill="1" applyBorder="1" applyAlignment="1">
      <alignment horizontal="right"/>
    </xf>
    <xf numFmtId="166" fontId="1" fillId="11" borderId="50" xfId="0" applyNumberFormat="1" applyFont="1" applyFill="1" applyBorder="1" applyAlignment="1">
      <alignment horizontal="right"/>
    </xf>
    <xf numFmtId="49" fontId="1" fillId="12" borderId="20" xfId="0" applyNumberFormat="1" applyFont="1" applyFill="1" applyBorder="1" applyAlignment="1">
      <alignment horizontal="right"/>
    </xf>
    <xf numFmtId="166" fontId="1" fillId="12" borderId="50" xfId="0" applyNumberFormat="1" applyFont="1" applyFill="1" applyBorder="1" applyAlignment="1">
      <alignment horizontal="right"/>
    </xf>
    <xf numFmtId="49" fontId="1" fillId="13" borderId="20" xfId="0" applyNumberFormat="1" applyFont="1" applyFill="1" applyBorder="1" applyAlignment="1">
      <alignment horizontal="right"/>
    </xf>
    <xf numFmtId="166" fontId="1" fillId="13" borderId="50" xfId="0" applyNumberFormat="1" applyFont="1" applyFill="1" applyBorder="1" applyAlignment="1">
      <alignment horizontal="right"/>
    </xf>
    <xf numFmtId="164" fontId="43" fillId="2" borderId="1" xfId="0" applyNumberFormat="1" applyFont="1" applyFill="1" applyBorder="1"/>
    <xf numFmtId="49" fontId="1" fillId="8" borderId="22" xfId="0" applyNumberFormat="1" applyFont="1" applyFill="1" applyBorder="1" applyAlignment="1">
      <alignment horizontal="right"/>
    </xf>
    <xf numFmtId="164" fontId="74" fillId="8" borderId="54" xfId="0" applyNumberFormat="1" applyFont="1" applyFill="1" applyBorder="1" applyAlignment="1">
      <alignment horizontal="right"/>
    </xf>
    <xf numFmtId="49" fontId="1" fillId="9" borderId="22" xfId="0" applyNumberFormat="1" applyFont="1" applyFill="1" applyBorder="1" applyAlignment="1">
      <alignment horizontal="right"/>
    </xf>
    <xf numFmtId="164" fontId="74" fillId="9" borderId="54" xfId="0" applyNumberFormat="1" applyFont="1" applyFill="1" applyBorder="1" applyAlignment="1">
      <alignment horizontal="right"/>
    </xf>
    <xf numFmtId="49" fontId="1" fillId="10" borderId="22" xfId="0" applyNumberFormat="1" applyFont="1" applyFill="1" applyBorder="1" applyAlignment="1">
      <alignment horizontal="right"/>
    </xf>
    <xf numFmtId="164" fontId="74" fillId="10" borderId="54" xfId="0" applyNumberFormat="1" applyFont="1" applyFill="1" applyBorder="1" applyAlignment="1">
      <alignment horizontal="right"/>
    </xf>
    <xf numFmtId="49" fontId="1" fillId="11" borderId="22" xfId="0" applyNumberFormat="1" applyFont="1" applyFill="1" applyBorder="1" applyAlignment="1">
      <alignment horizontal="right"/>
    </xf>
    <xf numFmtId="164" fontId="74" fillId="11" borderId="54" xfId="0" applyNumberFormat="1" applyFont="1" applyFill="1" applyBorder="1" applyAlignment="1">
      <alignment horizontal="right"/>
    </xf>
    <xf numFmtId="49" fontId="1" fillId="12" borderId="22" xfId="0" applyNumberFormat="1" applyFont="1" applyFill="1" applyBorder="1" applyAlignment="1">
      <alignment horizontal="right"/>
    </xf>
    <xf numFmtId="164" fontId="74" fillId="12" borderId="54" xfId="0" applyNumberFormat="1" applyFont="1" applyFill="1" applyBorder="1" applyAlignment="1">
      <alignment horizontal="right"/>
    </xf>
    <xf numFmtId="49" fontId="1" fillId="13" borderId="22" xfId="0" applyNumberFormat="1" applyFont="1" applyFill="1" applyBorder="1" applyAlignment="1">
      <alignment horizontal="right"/>
    </xf>
    <xf numFmtId="164" fontId="74" fillId="13" borderId="54" xfId="0" applyNumberFormat="1" applyFont="1" applyFill="1" applyBorder="1" applyAlignment="1">
      <alignment horizontal="right"/>
    </xf>
    <xf numFmtId="164" fontId="74" fillId="9" borderId="1" xfId="0" applyNumberFormat="1" applyFont="1" applyFill="1" applyBorder="1" applyAlignment="1">
      <alignment horizontal="right"/>
    </xf>
    <xf numFmtId="167" fontId="43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3" fontId="2" fillId="0" borderId="0" xfId="0" applyNumberFormat="1" applyFont="1"/>
    <xf numFmtId="164" fontId="3" fillId="3" borderId="44" xfId="0" applyNumberFormat="1" applyFont="1" applyFill="1" applyBorder="1"/>
    <xf numFmtId="0" fontId="2" fillId="3" borderId="59" xfId="0" applyFont="1" applyFill="1" applyBorder="1"/>
    <xf numFmtId="165" fontId="2" fillId="3" borderId="59" xfId="0" applyNumberFormat="1" applyFont="1" applyFill="1" applyBorder="1"/>
    <xf numFmtId="165" fontId="2" fillId="3" borderId="38" xfId="0" applyNumberFormat="1" applyFont="1" applyFill="1" applyBorder="1"/>
    <xf numFmtId="3" fontId="2" fillId="2" borderId="1" xfId="0" applyNumberFormat="1" applyFont="1" applyFill="1" applyBorder="1"/>
    <xf numFmtId="0" fontId="12" fillId="3" borderId="60" xfId="0" applyFont="1" applyFill="1" applyBorder="1"/>
    <xf numFmtId="164" fontId="3" fillId="3" borderId="61" xfId="0" applyNumberFormat="1" applyFont="1" applyFill="1" applyBorder="1" applyAlignment="1">
      <alignment horizontal="center"/>
    </xf>
    <xf numFmtId="164" fontId="75" fillId="3" borderId="38" xfId="0" applyNumberFormat="1" applyFont="1" applyFill="1" applyBorder="1" applyAlignment="1">
      <alignment horizontal="center"/>
    </xf>
    <xf numFmtId="164" fontId="1" fillId="2" borderId="62" xfId="0" applyNumberFormat="1" applyFont="1" applyFill="1" applyBorder="1" applyAlignment="1">
      <alignment vertical="center"/>
    </xf>
    <xf numFmtId="0" fontId="2" fillId="9" borderId="63" xfId="0" applyFont="1" applyFill="1" applyBorder="1"/>
    <xf numFmtId="9" fontId="1" fillId="4" borderId="63" xfId="0" applyNumberFormat="1" applyFont="1" applyFill="1" applyBorder="1" applyAlignment="1">
      <alignment horizontal="center"/>
    </xf>
    <xf numFmtId="9" fontId="1" fillId="9" borderId="63" xfId="0" applyNumberFormat="1" applyFont="1" applyFill="1" applyBorder="1" applyAlignment="1">
      <alignment horizontal="center"/>
    </xf>
    <xf numFmtId="0" fontId="76" fillId="9" borderId="64" xfId="0" applyFont="1" applyFill="1" applyBorder="1"/>
    <xf numFmtId="0" fontId="77" fillId="0" borderId="0" xfId="0" applyFont="1"/>
    <xf numFmtId="3" fontId="1" fillId="0" borderId="0" xfId="0" applyNumberFormat="1" applyFont="1"/>
    <xf numFmtId="164" fontId="1" fillId="2" borderId="65" xfId="0" applyNumberFormat="1" applyFont="1" applyFill="1" applyBorder="1" applyAlignment="1">
      <alignment vertical="center"/>
    </xf>
    <xf numFmtId="0" fontId="2" fillId="9" borderId="66" xfId="0" applyFont="1" applyFill="1" applyBorder="1"/>
    <xf numFmtId="9" fontId="1" fillId="4" borderId="66" xfId="0" applyNumberFormat="1" applyFont="1" applyFill="1" applyBorder="1" applyAlignment="1">
      <alignment horizontal="center"/>
    </xf>
    <xf numFmtId="9" fontId="1" fillId="9" borderId="66" xfId="0" applyNumberFormat="1" applyFont="1" applyFill="1" applyBorder="1" applyAlignment="1">
      <alignment horizontal="center"/>
    </xf>
    <xf numFmtId="9" fontId="1" fillId="9" borderId="67" xfId="0" applyNumberFormat="1" applyFont="1" applyFill="1" applyBorder="1" applyAlignment="1">
      <alignment horizontal="center"/>
    </xf>
    <xf numFmtId="0" fontId="78" fillId="9" borderId="54" xfId="0" applyFont="1" applyFill="1" applyBorder="1"/>
    <xf numFmtId="0" fontId="79" fillId="0" borderId="0" xfId="0" applyFont="1"/>
    <xf numFmtId="164" fontId="3" fillId="3" borderId="46" xfId="0" applyNumberFormat="1" applyFont="1" applyFill="1" applyBorder="1"/>
    <xf numFmtId="0" fontId="80" fillId="3" borderId="7" xfId="0" applyFont="1" applyFill="1" applyBorder="1"/>
    <xf numFmtId="164" fontId="3" fillId="3" borderId="7" xfId="0" applyNumberFormat="1" applyFont="1" applyFill="1" applyBorder="1" applyAlignment="1">
      <alignment horizontal="center"/>
    </xf>
    <xf numFmtId="164" fontId="81" fillId="3" borderId="47" xfId="0" applyNumberFormat="1" applyFont="1" applyFill="1" applyBorder="1" applyAlignment="1">
      <alignment horizontal="center"/>
    </xf>
    <xf numFmtId="164" fontId="3" fillId="3" borderId="68" xfId="0" applyNumberFormat="1" applyFont="1" applyFill="1" applyBorder="1"/>
    <xf numFmtId="0" fontId="80" fillId="3" borderId="69" xfId="0" applyFont="1" applyFill="1" applyBorder="1"/>
    <xf numFmtId="164" fontId="3" fillId="3" borderId="69" xfId="0" applyNumberFormat="1" applyFont="1" applyFill="1" applyBorder="1" applyAlignment="1">
      <alignment horizontal="center"/>
    </xf>
    <xf numFmtId="164" fontId="3" fillId="3" borderId="70" xfId="0" applyNumberFormat="1" applyFont="1" applyFill="1" applyBorder="1"/>
    <xf numFmtId="0" fontId="3" fillId="3" borderId="71" xfId="0" applyFont="1" applyFill="1" applyBorder="1" applyAlignment="1">
      <alignment horizontal="center" vertical="center"/>
    </xf>
    <xf numFmtId="0" fontId="3" fillId="3" borderId="71" xfId="0" applyFont="1" applyFill="1" applyBorder="1" applyAlignment="1">
      <alignment horizontal="center"/>
    </xf>
    <xf numFmtId="164" fontId="3" fillId="3" borderId="71" xfId="0" applyNumberFormat="1" applyFont="1" applyFill="1" applyBorder="1" applyAlignment="1">
      <alignment horizontal="center"/>
    </xf>
    <xf numFmtId="0" fontId="82" fillId="3" borderId="54" xfId="0" applyFont="1" applyFill="1" applyBorder="1" applyAlignment="1">
      <alignment horizontal="center"/>
    </xf>
    <xf numFmtId="166" fontId="11" fillId="4" borderId="63" xfId="0" applyNumberFormat="1" applyFont="1" applyFill="1" applyBorder="1" applyAlignment="1">
      <alignment horizontal="center"/>
    </xf>
    <xf numFmtId="166" fontId="11" fillId="9" borderId="63" xfId="0" applyNumberFormat="1" applyFont="1" applyFill="1" applyBorder="1" applyAlignment="1">
      <alignment horizontal="center"/>
    </xf>
    <xf numFmtId="9" fontId="11" fillId="9" borderId="63" xfId="0" applyNumberFormat="1" applyFont="1" applyFill="1" applyBorder="1" applyAlignment="1">
      <alignment horizontal="center"/>
    </xf>
    <xf numFmtId="0" fontId="83" fillId="9" borderId="64" xfId="0" applyFont="1" applyFill="1" applyBorder="1" applyAlignment="1">
      <alignment horizontal="left"/>
    </xf>
    <xf numFmtId="164" fontId="1" fillId="2" borderId="72" xfId="0" applyNumberFormat="1" applyFont="1" applyFill="1" applyBorder="1" applyAlignment="1">
      <alignment vertical="center"/>
    </xf>
    <xf numFmtId="0" fontId="2" fillId="9" borderId="73" xfId="0" applyFont="1" applyFill="1" applyBorder="1"/>
    <xf numFmtId="166" fontId="11" fillId="9" borderId="73" xfId="0" applyNumberFormat="1" applyFont="1" applyFill="1" applyBorder="1" applyAlignment="1">
      <alignment horizontal="center"/>
    </xf>
    <xf numFmtId="9" fontId="11" fillId="9" borderId="73" xfId="0" applyNumberFormat="1" applyFont="1" applyFill="1" applyBorder="1" applyAlignment="1">
      <alignment horizontal="center"/>
    </xf>
    <xf numFmtId="0" fontId="84" fillId="9" borderId="74" xfId="0" applyFont="1" applyFill="1" applyBorder="1" applyAlignment="1">
      <alignment horizontal="left"/>
    </xf>
    <xf numFmtId="166" fontId="11" fillId="4" borderId="73" xfId="0" applyNumberFormat="1" applyFont="1" applyFill="1" applyBorder="1" applyAlignment="1">
      <alignment horizontal="center"/>
    </xf>
    <xf numFmtId="0" fontId="11" fillId="0" borderId="75" xfId="0" applyFont="1" applyBorder="1"/>
    <xf numFmtId="166" fontId="1" fillId="9" borderId="66" xfId="0" applyNumberFormat="1" applyFont="1" applyFill="1" applyBorder="1"/>
    <xf numFmtId="166" fontId="1" fillId="9" borderId="67" xfId="0" applyNumberFormat="1" applyFont="1" applyFill="1" applyBorder="1"/>
    <xf numFmtId="166" fontId="11" fillId="9" borderId="66" xfId="0" applyNumberFormat="1" applyFont="1" applyFill="1" applyBorder="1" applyAlignment="1">
      <alignment horizontal="center"/>
    </xf>
    <xf numFmtId="9" fontId="11" fillId="9" borderId="66" xfId="0" applyNumberFormat="1" applyFont="1" applyFill="1" applyBorder="1" applyAlignment="1">
      <alignment horizontal="center"/>
    </xf>
    <xf numFmtId="0" fontId="85" fillId="9" borderId="54" xfId="0" applyFont="1" applyFill="1" applyBorder="1" applyAlignment="1">
      <alignment horizontal="left"/>
    </xf>
    <xf numFmtId="0" fontId="7" fillId="3" borderId="76" xfId="0" applyFont="1" applyFill="1" applyBorder="1"/>
    <xf numFmtId="166" fontId="11" fillId="3" borderId="77" xfId="0" applyNumberFormat="1" applyFont="1" applyFill="1" applyBorder="1" applyAlignment="1">
      <alignment horizontal="center"/>
    </xf>
    <xf numFmtId="9" fontId="11" fillId="3" borderId="77" xfId="0" applyNumberFormat="1" applyFont="1" applyFill="1" applyBorder="1" applyAlignment="1">
      <alignment horizontal="center"/>
    </xf>
    <xf numFmtId="0" fontId="86" fillId="3" borderId="8" xfId="0" applyFont="1" applyFill="1" applyBorder="1"/>
    <xf numFmtId="164" fontId="3" fillId="3" borderId="78" xfId="0" applyNumberFormat="1" applyFont="1" applyFill="1" applyBorder="1"/>
    <xf numFmtId="164" fontId="3" fillId="3" borderId="36" xfId="0" applyNumberFormat="1" applyFont="1" applyFill="1" applyBorder="1" applyAlignment="1">
      <alignment horizontal="center"/>
    </xf>
    <xf numFmtId="0" fontId="87" fillId="3" borderId="79" xfId="0" applyFont="1" applyFill="1" applyBorder="1" applyAlignment="1">
      <alignment horizontal="center"/>
    </xf>
    <xf numFmtId="166" fontId="1" fillId="9" borderId="80" xfId="0" applyNumberFormat="1" applyFont="1" applyFill="1" applyBorder="1"/>
    <xf numFmtId="166" fontId="11" fillId="4" borderId="80" xfId="0" applyNumberFormat="1" applyFont="1" applyFill="1" applyBorder="1" applyAlignment="1">
      <alignment horizontal="center"/>
    </xf>
    <xf numFmtId="166" fontId="11" fillId="9" borderId="80" xfId="0" applyNumberFormat="1" applyFont="1" applyFill="1" applyBorder="1" applyAlignment="1">
      <alignment horizontal="center"/>
    </xf>
    <xf numFmtId="9" fontId="11" fillId="9" borderId="80" xfId="0" applyNumberFormat="1" applyFont="1" applyFill="1" applyBorder="1" applyAlignment="1">
      <alignment horizontal="center"/>
    </xf>
    <xf numFmtId="166" fontId="1" fillId="9" borderId="81" xfId="0" applyNumberFormat="1" applyFont="1" applyFill="1" applyBorder="1"/>
    <xf numFmtId="166" fontId="11" fillId="4" borderId="81" xfId="0" applyNumberFormat="1" applyFont="1" applyFill="1" applyBorder="1" applyAlignment="1">
      <alignment horizontal="center"/>
    </xf>
    <xf numFmtId="166" fontId="11" fillId="9" borderId="81" xfId="0" applyNumberFormat="1" applyFont="1" applyFill="1" applyBorder="1" applyAlignment="1">
      <alignment horizontal="center"/>
    </xf>
    <xf numFmtId="9" fontId="11" fillId="9" borderId="81" xfId="0" applyNumberFormat="1" applyFont="1" applyFill="1" applyBorder="1" applyAlignment="1">
      <alignment horizontal="center"/>
    </xf>
    <xf numFmtId="164" fontId="1" fillId="2" borderId="82" xfId="0" applyNumberFormat="1" applyFont="1" applyFill="1" applyBorder="1" applyAlignment="1">
      <alignment vertical="center"/>
    </xf>
    <xf numFmtId="166" fontId="1" fillId="9" borderId="83" xfId="0" applyNumberFormat="1" applyFont="1" applyFill="1" applyBorder="1"/>
    <xf numFmtId="166" fontId="11" fillId="9" borderId="83" xfId="0" applyNumberFormat="1" applyFont="1" applyFill="1" applyBorder="1" applyAlignment="1">
      <alignment horizontal="center"/>
    </xf>
    <xf numFmtId="9" fontId="11" fillId="9" borderId="83" xfId="0" applyNumberFormat="1" applyFont="1" applyFill="1" applyBorder="1" applyAlignment="1">
      <alignment horizontal="center"/>
    </xf>
    <xf numFmtId="0" fontId="88" fillId="9" borderId="84" xfId="0" applyFont="1" applyFill="1" applyBorder="1" applyAlignment="1">
      <alignment horizontal="left"/>
    </xf>
    <xf numFmtId="0" fontId="1" fillId="0" borderId="75" xfId="0" applyFont="1" applyBorder="1"/>
    <xf numFmtId="166" fontId="1" fillId="9" borderId="85" xfId="0" applyNumberFormat="1" applyFont="1" applyFill="1" applyBorder="1"/>
    <xf numFmtId="166" fontId="11" fillId="9" borderId="85" xfId="0" applyNumberFormat="1" applyFont="1" applyFill="1" applyBorder="1" applyAlignment="1">
      <alignment horizontal="center"/>
    </xf>
    <xf numFmtId="9" fontId="11" fillId="9" borderId="85" xfId="0" applyNumberFormat="1" applyFont="1" applyFill="1" applyBorder="1" applyAlignment="1">
      <alignment horizontal="center"/>
    </xf>
    <xf numFmtId="0" fontId="7" fillId="3" borderId="77" xfId="0" applyFont="1" applyFill="1" applyBorder="1"/>
    <xf numFmtId="0" fontId="7" fillId="3" borderId="7" xfId="0" applyFont="1" applyFill="1" applyBorder="1"/>
    <xf numFmtId="0" fontId="7" fillId="3" borderId="47" xfId="0" applyFont="1" applyFill="1" applyBorder="1"/>
    <xf numFmtId="0" fontId="3" fillId="3" borderId="3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12" fillId="9" borderId="63" xfId="0" applyFont="1" applyFill="1" applyBorder="1"/>
    <xf numFmtId="0" fontId="89" fillId="9" borderId="64" xfId="0" applyFont="1" applyFill="1" applyBorder="1"/>
    <xf numFmtId="166" fontId="1" fillId="4" borderId="73" xfId="0" applyNumberFormat="1" applyFont="1" applyFill="1" applyBorder="1" applyAlignment="1">
      <alignment horizontal="right"/>
    </xf>
    <xf numFmtId="9" fontId="1" fillId="9" borderId="73" xfId="0" applyNumberFormat="1" applyFont="1" applyFill="1" applyBorder="1" applyAlignment="1">
      <alignment horizontal="center"/>
    </xf>
    <xf numFmtId="0" fontId="90" fillId="9" borderId="74" xfId="0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/>
    <xf numFmtId="0" fontId="77" fillId="0" borderId="0" xfId="0" applyFont="1" applyAlignment="1">
      <alignment horizontal="left" vertical="top" wrapText="1"/>
    </xf>
    <xf numFmtId="0" fontId="91" fillId="9" borderId="74" xfId="0" applyFont="1" applyFill="1" applyBorder="1"/>
    <xf numFmtId="0" fontId="2" fillId="9" borderId="81" xfId="0" applyFont="1" applyFill="1" applyBorder="1"/>
    <xf numFmtId="0" fontId="2" fillId="9" borderId="86" xfId="0" applyFont="1" applyFill="1" applyBorder="1"/>
    <xf numFmtId="166" fontId="1" fillId="4" borderId="86" xfId="0" applyNumberFormat="1" applyFont="1" applyFill="1" applyBorder="1" applyAlignment="1">
      <alignment horizontal="right"/>
    </xf>
    <xf numFmtId="9" fontId="1" fillId="9" borderId="86" xfId="0" applyNumberFormat="1" applyFont="1" applyFill="1" applyBorder="1" applyAlignment="1">
      <alignment horizontal="center"/>
    </xf>
    <xf numFmtId="0" fontId="92" fillId="9" borderId="84" xfId="0" applyFont="1" applyFill="1" applyBorder="1"/>
    <xf numFmtId="0" fontId="1" fillId="9" borderId="74" xfId="0" applyFont="1" applyFill="1" applyBorder="1" applyAlignment="1">
      <alignment horizontal="right"/>
    </xf>
    <xf numFmtId="166" fontId="1" fillId="9" borderId="73" xfId="0" applyNumberFormat="1" applyFont="1" applyFill="1" applyBorder="1" applyAlignment="1">
      <alignment horizontal="center"/>
    </xf>
    <xf numFmtId="166" fontId="1" fillId="9" borderId="66" xfId="0" applyNumberFormat="1" applyFont="1" applyFill="1" applyBorder="1" applyAlignment="1">
      <alignment horizontal="center"/>
    </xf>
    <xf numFmtId="0" fontId="93" fillId="9" borderId="54" xfId="0" applyFont="1" applyFill="1" applyBorder="1"/>
    <xf numFmtId="0" fontId="7" fillId="3" borderId="78" xfId="0" applyFont="1" applyFill="1" applyBorder="1"/>
    <xf numFmtId="164" fontId="11" fillId="3" borderId="79" xfId="0" applyNumberFormat="1" applyFont="1" applyFill="1" applyBorder="1" applyAlignment="1">
      <alignment horizontal="center"/>
    </xf>
    <xf numFmtId="164" fontId="1" fillId="0" borderId="87" xfId="0" applyNumberFormat="1" applyFont="1" applyBorder="1"/>
    <xf numFmtId="166" fontId="1" fillId="9" borderId="88" xfId="0" applyNumberFormat="1" applyFont="1" applyFill="1" applyBorder="1" applyAlignment="1">
      <alignment horizontal="center"/>
    </xf>
    <xf numFmtId="9" fontId="1" fillId="9" borderId="88" xfId="0" applyNumberFormat="1" applyFont="1" applyFill="1" applyBorder="1" applyAlignment="1">
      <alignment horizontal="center"/>
    </xf>
    <xf numFmtId="0" fontId="94" fillId="9" borderId="38" xfId="0" applyFont="1" applyFill="1" applyBorder="1"/>
    <xf numFmtId="0" fontId="77" fillId="0" borderId="0" xfId="0" applyFont="1" applyAlignment="1">
      <alignment horizontal="left" vertical="top"/>
    </xf>
    <xf numFmtId="164" fontId="95" fillId="0" borderId="0" xfId="0" applyNumberFormat="1" applyFont="1" applyAlignment="1">
      <alignment horizontal="center"/>
    </xf>
    <xf numFmtId="168" fontId="7" fillId="0" borderId="0" xfId="0" applyNumberFormat="1" applyFont="1"/>
    <xf numFmtId="0" fontId="1" fillId="2" borderId="53" xfId="0" applyFont="1" applyFill="1" applyBorder="1" applyAlignment="1">
      <alignment horizontal="left"/>
    </xf>
    <xf numFmtId="165" fontId="1" fillId="2" borderId="1" xfId="0" applyNumberFormat="1" applyFont="1" applyFill="1" applyBorder="1"/>
    <xf numFmtId="0" fontId="1" fillId="9" borderId="89" xfId="0" applyFont="1" applyFill="1" applyBorder="1" applyAlignment="1">
      <alignment horizontal="right" wrapText="1"/>
    </xf>
    <xf numFmtId="165" fontId="1" fillId="9" borderId="1" xfId="0" applyNumberFormat="1" applyFont="1" applyFill="1" applyBorder="1" applyAlignment="1">
      <alignment horizontal="right" wrapText="1"/>
    </xf>
    <xf numFmtId="165" fontId="1" fillId="9" borderId="89" xfId="0" applyNumberFormat="1" applyFont="1" applyFill="1" applyBorder="1" applyAlignment="1">
      <alignment horizontal="center" vertical="center"/>
    </xf>
    <xf numFmtId="165" fontId="1" fillId="9" borderId="90" xfId="0" applyNumberFormat="1" applyFont="1" applyFill="1" applyBorder="1" applyAlignment="1">
      <alignment horizontal="center" wrapText="1"/>
    </xf>
    <xf numFmtId="9" fontId="1" fillId="9" borderId="1" xfId="0" applyNumberFormat="1" applyFont="1" applyFill="1" applyBorder="1" applyAlignment="1">
      <alignment horizontal="center" vertical="center" wrapText="1"/>
    </xf>
    <xf numFmtId="164" fontId="3" fillId="3" borderId="44" xfId="0" applyNumberFormat="1" applyFont="1" applyFill="1" applyBorder="1" applyAlignment="1">
      <alignment vertical="center"/>
    </xf>
    <xf numFmtId="166" fontId="2" fillId="2" borderId="60" xfId="0" applyNumberFormat="1" applyFont="1" applyFill="1" applyBorder="1" applyAlignment="1">
      <alignment horizontal="right" vertical="center"/>
    </xf>
    <xf numFmtId="165" fontId="2" fillId="2" borderId="59" xfId="0" applyNumberFormat="1" applyFont="1" applyFill="1" applyBorder="1" applyAlignment="1">
      <alignment horizontal="right" vertical="center"/>
    </xf>
    <xf numFmtId="165" fontId="2" fillId="2" borderId="60" xfId="0" applyNumberFormat="1" applyFont="1" applyFill="1" applyBorder="1" applyAlignment="1">
      <alignment vertical="center"/>
    </xf>
    <xf numFmtId="165" fontId="2" fillId="2" borderId="91" xfId="0" applyNumberFormat="1" applyFont="1" applyFill="1" applyBorder="1" applyAlignment="1">
      <alignment horizontal="right" vertical="center"/>
    </xf>
    <xf numFmtId="9" fontId="2" fillId="2" borderId="59" xfId="0" applyNumberFormat="1" applyFont="1" applyFill="1" applyBorder="1" applyAlignment="1">
      <alignment vertical="center"/>
    </xf>
    <xf numFmtId="165" fontId="2" fillId="2" borderId="38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66" fontId="2" fillId="9" borderId="89" xfId="0" applyNumberFormat="1" applyFont="1" applyFill="1" applyBorder="1" applyAlignment="1">
      <alignment horizontal="right" vertical="center"/>
    </xf>
    <xf numFmtId="165" fontId="2" fillId="9" borderId="1" xfId="0" applyNumberFormat="1" applyFont="1" applyFill="1" applyBorder="1" applyAlignment="1">
      <alignment horizontal="right" vertical="center"/>
    </xf>
    <xf numFmtId="165" fontId="2" fillId="9" borderId="89" xfId="0" applyNumberFormat="1" applyFont="1" applyFill="1" applyBorder="1" applyAlignment="1">
      <alignment horizontal="right" vertical="center"/>
    </xf>
    <xf numFmtId="165" fontId="2" fillId="9" borderId="90" xfId="0" applyNumberFormat="1" applyFont="1" applyFill="1" applyBorder="1" applyAlignment="1">
      <alignment horizontal="right" vertical="center"/>
    </xf>
    <xf numFmtId="9" fontId="2" fillId="9" borderId="1" xfId="0" applyNumberFormat="1" applyFont="1" applyFill="1" applyBorder="1" applyAlignment="1">
      <alignment vertical="center"/>
    </xf>
    <xf numFmtId="165" fontId="2" fillId="9" borderId="90" xfId="0" applyNumberFormat="1" applyFont="1" applyFill="1" applyBorder="1" applyAlignment="1">
      <alignment vertical="center"/>
    </xf>
    <xf numFmtId="165" fontId="2" fillId="9" borderId="1" xfId="0" applyNumberFormat="1" applyFont="1" applyFill="1" applyBorder="1" applyAlignment="1">
      <alignment vertical="center"/>
    </xf>
    <xf numFmtId="165" fontId="2" fillId="9" borderId="89" xfId="0" applyNumberFormat="1" applyFont="1" applyFill="1" applyBorder="1" applyAlignment="1">
      <alignment vertical="center"/>
    </xf>
    <xf numFmtId="165" fontId="2" fillId="2" borderId="60" xfId="0" applyNumberFormat="1" applyFont="1" applyFill="1" applyBorder="1" applyAlignment="1">
      <alignment horizontal="right" vertical="center"/>
    </xf>
    <xf numFmtId="165" fontId="2" fillId="2" borderId="59" xfId="0" applyNumberFormat="1" applyFont="1" applyFill="1" applyBorder="1" applyAlignment="1">
      <alignment vertical="center"/>
    </xf>
    <xf numFmtId="166" fontId="2" fillId="9" borderId="60" xfId="0" applyNumberFormat="1" applyFont="1" applyFill="1" applyBorder="1" applyAlignment="1">
      <alignment horizontal="right" vertical="center"/>
    </xf>
    <xf numFmtId="165" fontId="2" fillId="9" borderId="59" xfId="0" applyNumberFormat="1" applyFont="1" applyFill="1" applyBorder="1" applyAlignment="1">
      <alignment horizontal="right" vertical="center"/>
    </xf>
    <xf numFmtId="165" fontId="2" fillId="9" borderId="60" xfId="0" applyNumberFormat="1" applyFont="1" applyFill="1" applyBorder="1" applyAlignment="1">
      <alignment horizontal="right" vertical="center"/>
    </xf>
    <xf numFmtId="165" fontId="2" fillId="9" borderId="91" xfId="0" applyNumberFormat="1" applyFont="1" applyFill="1" applyBorder="1" applyAlignment="1">
      <alignment horizontal="right" vertical="center"/>
    </xf>
    <xf numFmtId="9" fontId="2" fillId="9" borderId="59" xfId="0" applyNumberFormat="1" applyFont="1" applyFill="1" applyBorder="1" applyAlignment="1">
      <alignment vertical="center"/>
    </xf>
    <xf numFmtId="165" fontId="2" fillId="9" borderId="38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0" fontId="1" fillId="9" borderId="92" xfId="0" applyFont="1" applyFill="1" applyBorder="1" applyAlignment="1">
      <alignment horizontal="right" vertical="center"/>
    </xf>
    <xf numFmtId="165" fontId="1" fillId="9" borderId="53" xfId="0" applyNumberFormat="1" applyFont="1" applyFill="1" applyBorder="1" applyAlignment="1">
      <alignment horizontal="right" vertical="center"/>
    </xf>
    <xf numFmtId="165" fontId="1" fillId="9" borderId="92" xfId="0" applyNumberFormat="1" applyFont="1" applyFill="1" applyBorder="1" applyAlignment="1">
      <alignment horizontal="right" vertical="center"/>
    </xf>
    <xf numFmtId="165" fontId="1" fillId="9" borderId="93" xfId="0" applyNumberFormat="1" applyFont="1" applyFill="1" applyBorder="1" applyAlignment="1">
      <alignment horizontal="right" vertical="center"/>
    </xf>
    <xf numFmtId="9" fontId="1" fillId="9" borderId="53" xfId="0" applyNumberFormat="1" applyFont="1" applyFill="1" applyBorder="1" applyAlignment="1">
      <alignment vertical="center"/>
    </xf>
    <xf numFmtId="165" fontId="1" fillId="9" borderId="93" xfId="0" applyNumberFormat="1" applyFont="1" applyFill="1" applyBorder="1" applyAlignment="1">
      <alignment vertical="center"/>
    </xf>
    <xf numFmtId="165" fontId="2" fillId="2" borderId="1" xfId="0" applyNumberFormat="1" applyFont="1" applyFill="1" applyBorder="1"/>
    <xf numFmtId="9" fontId="2" fillId="2" borderId="1" xfId="0" applyNumberFormat="1" applyFont="1" applyFill="1" applyBorder="1"/>
    <xf numFmtId="0" fontId="96" fillId="0" borderId="0" xfId="0" applyFont="1"/>
    <xf numFmtId="0" fontId="1" fillId="2" borderId="53" xfId="0" applyFont="1" applyFill="1" applyBorder="1"/>
    <xf numFmtId="0" fontId="1" fillId="9" borderId="51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166" fontId="2" fillId="9" borderId="1" xfId="0" applyNumberFormat="1" applyFont="1" applyFill="1" applyBorder="1" applyAlignment="1">
      <alignment vertical="center"/>
    </xf>
    <xf numFmtId="166" fontId="2" fillId="9" borderId="89" xfId="0" applyNumberFormat="1" applyFont="1" applyFill="1" applyBorder="1" applyAlignment="1">
      <alignment vertical="center"/>
    </xf>
    <xf numFmtId="166" fontId="2" fillId="9" borderId="90" xfId="0" applyNumberFormat="1" applyFont="1" applyFill="1" applyBorder="1" applyAlignment="1">
      <alignment horizontal="right" vertical="center"/>
    </xf>
    <xf numFmtId="166" fontId="2" fillId="9" borderId="1" xfId="0" applyNumberFormat="1" applyFont="1" applyFill="1" applyBorder="1" applyAlignment="1">
      <alignment horizontal="right" vertical="center"/>
    </xf>
    <xf numFmtId="164" fontId="3" fillId="3" borderId="94" xfId="0" applyNumberFormat="1" applyFont="1" applyFill="1" applyBorder="1" applyAlignment="1">
      <alignment vertical="center"/>
    </xf>
    <xf numFmtId="0" fontId="1" fillId="9" borderId="60" xfId="0" applyFont="1" applyFill="1" applyBorder="1" applyAlignment="1">
      <alignment horizontal="right" vertical="center"/>
    </xf>
    <xf numFmtId="165" fontId="1" fillId="9" borderId="59" xfId="0" applyNumberFormat="1" applyFont="1" applyFill="1" applyBorder="1" applyAlignment="1">
      <alignment horizontal="right" vertical="center"/>
    </xf>
    <xf numFmtId="165" fontId="1" fillId="9" borderId="60" xfId="0" applyNumberFormat="1" applyFont="1" applyFill="1" applyBorder="1" applyAlignment="1">
      <alignment horizontal="right" vertical="center"/>
    </xf>
    <xf numFmtId="166" fontId="1" fillId="9" borderId="38" xfId="0" applyNumberFormat="1" applyFont="1" applyFill="1" applyBorder="1" applyAlignment="1">
      <alignment horizontal="right" vertical="center"/>
    </xf>
    <xf numFmtId="0" fontId="1" fillId="2" borderId="53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164" fontId="3" fillId="3" borderId="2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165" fontId="2" fillId="3" borderId="2" xfId="0" applyNumberFormat="1" applyFont="1" applyFill="1" applyBorder="1" applyAlignment="1">
      <alignment vertical="center"/>
    </xf>
    <xf numFmtId="165" fontId="2" fillId="3" borderId="3" xfId="0" applyNumberFormat="1" applyFont="1" applyFill="1" applyBorder="1" applyAlignment="1">
      <alignment vertical="center"/>
    </xf>
    <xf numFmtId="0" fontId="1" fillId="9" borderId="98" xfId="0" applyFont="1" applyFill="1" applyBorder="1" applyAlignment="1">
      <alignment horizontal="center" vertical="center"/>
    </xf>
    <xf numFmtId="0" fontId="1" fillId="9" borderId="99" xfId="0" applyFont="1" applyFill="1" applyBorder="1" applyAlignment="1">
      <alignment horizontal="center" vertical="center"/>
    </xf>
    <xf numFmtId="0" fontId="1" fillId="9" borderId="100" xfId="0" applyFont="1" applyFill="1" applyBorder="1" applyAlignment="1">
      <alignment horizontal="center" vertical="center"/>
    </xf>
    <xf numFmtId="0" fontId="1" fillId="8" borderId="92" xfId="0" applyFont="1" applyFill="1" applyBorder="1" applyAlignment="1">
      <alignment horizontal="left" vertical="center"/>
    </xf>
    <xf numFmtId="0" fontId="1" fillId="8" borderId="53" xfId="0" applyFont="1" applyFill="1" applyBorder="1" applyAlignment="1">
      <alignment horizontal="center" vertical="center"/>
    </xf>
    <xf numFmtId="0" fontId="1" fillId="8" borderId="37" xfId="0" applyFont="1" applyFill="1" applyBorder="1" applyAlignment="1">
      <alignment horizontal="center" vertical="center"/>
    </xf>
    <xf numFmtId="164" fontId="3" fillId="3" borderId="60" xfId="0" applyNumberFormat="1" applyFont="1" applyFill="1" applyBorder="1" applyAlignment="1">
      <alignment horizontal="center" vertical="center"/>
    </xf>
    <xf numFmtId="164" fontId="3" fillId="3" borderId="59" xfId="0" applyNumberFormat="1" applyFont="1" applyFill="1" applyBorder="1" applyAlignment="1">
      <alignment horizontal="center" vertical="center"/>
    </xf>
    <xf numFmtId="164" fontId="3" fillId="3" borderId="59" xfId="0" applyNumberFormat="1" applyFont="1" applyFill="1" applyBorder="1" applyAlignment="1">
      <alignment vertical="center"/>
    </xf>
    <xf numFmtId="164" fontId="3" fillId="3" borderId="38" xfId="0" applyNumberFormat="1" applyFont="1" applyFill="1" applyBorder="1" applyAlignment="1">
      <alignment vertical="center"/>
    </xf>
    <xf numFmtId="0" fontId="97" fillId="8" borderId="51" xfId="0" applyFont="1" applyFill="1" applyBorder="1" applyAlignment="1">
      <alignment vertical="center"/>
    </xf>
    <xf numFmtId="0" fontId="97" fillId="8" borderId="2" xfId="0" applyFont="1" applyFill="1" applyBorder="1" applyAlignment="1">
      <alignment vertical="center"/>
    </xf>
    <xf numFmtId="0" fontId="97" fillId="8" borderId="3" xfId="0" applyFont="1" applyFill="1" applyBorder="1" applyAlignment="1">
      <alignment vertical="center"/>
    </xf>
    <xf numFmtId="164" fontId="2" fillId="9" borderId="89" xfId="0" applyNumberFormat="1" applyFont="1" applyFill="1" applyBorder="1" applyAlignment="1">
      <alignment horizontal="right" vertical="center"/>
    </xf>
    <xf numFmtId="164" fontId="2" fillId="9" borderId="90" xfId="0" applyNumberFormat="1" applyFont="1" applyFill="1" applyBorder="1" applyAlignment="1">
      <alignment horizontal="right" vertical="center"/>
    </xf>
    <xf numFmtId="169" fontId="2" fillId="8" borderId="98" xfId="0" applyNumberFormat="1" applyFont="1" applyFill="1" applyBorder="1" applyAlignment="1">
      <alignment horizontal="center" vertical="center"/>
    </xf>
    <xf numFmtId="169" fontId="2" fillId="8" borderId="99" xfId="0" applyNumberFormat="1" applyFont="1" applyFill="1" applyBorder="1" applyAlignment="1">
      <alignment horizontal="center" vertical="center"/>
    </xf>
    <xf numFmtId="2" fontId="2" fillId="8" borderId="101" xfId="0" applyNumberFormat="1" applyFont="1" applyFill="1" applyBorder="1" applyAlignment="1">
      <alignment horizontal="center" vertical="center"/>
    </xf>
    <xf numFmtId="169" fontId="2" fillId="8" borderId="89" xfId="0" applyNumberFormat="1" applyFont="1" applyFill="1" applyBorder="1" applyAlignment="1">
      <alignment horizontal="center" vertical="center"/>
    </xf>
    <xf numFmtId="169" fontId="2" fillId="8" borderId="1" xfId="0" applyNumberFormat="1" applyFont="1" applyFill="1" applyBorder="1" applyAlignment="1">
      <alignment horizontal="center" vertical="center"/>
    </xf>
    <xf numFmtId="2" fontId="2" fillId="8" borderId="102" xfId="0" applyNumberFormat="1" applyFont="1" applyFill="1" applyBorder="1" applyAlignment="1">
      <alignment horizontal="center" vertical="center"/>
    </xf>
    <xf numFmtId="169" fontId="2" fillId="8" borderId="92" xfId="0" applyNumberFormat="1" applyFont="1" applyFill="1" applyBorder="1" applyAlignment="1">
      <alignment horizontal="center" vertical="center"/>
    </xf>
    <xf numFmtId="169" fontId="2" fillId="8" borderId="53" xfId="0" applyNumberFormat="1" applyFont="1" applyFill="1" applyBorder="1" applyAlignment="1">
      <alignment horizontal="center" vertical="center"/>
    </xf>
    <xf numFmtId="2" fontId="2" fillId="8" borderId="37" xfId="0" applyNumberFormat="1" applyFont="1" applyFill="1" applyBorder="1" applyAlignment="1">
      <alignment horizontal="center" vertical="center"/>
    </xf>
    <xf numFmtId="169" fontId="97" fillId="8" borderId="89" xfId="0" applyNumberFormat="1" applyFont="1" applyFill="1" applyBorder="1" applyAlignment="1">
      <alignment horizontal="center" vertical="center"/>
    </xf>
    <xf numFmtId="169" fontId="97" fillId="8" borderId="1" xfId="0" applyNumberFormat="1" applyFont="1" applyFill="1" applyBorder="1" applyAlignment="1">
      <alignment horizontal="center" vertical="center"/>
    </xf>
    <xf numFmtId="2" fontId="97" fillId="8" borderId="10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/>
    </xf>
    <xf numFmtId="169" fontId="97" fillId="8" borderId="51" xfId="0" applyNumberFormat="1" applyFont="1" applyFill="1" applyBorder="1" applyAlignment="1">
      <alignment horizontal="center" vertical="center"/>
    </xf>
    <xf numFmtId="169" fontId="97" fillId="8" borderId="2" xfId="0" applyNumberFormat="1" applyFont="1" applyFill="1" applyBorder="1" applyAlignment="1">
      <alignment horizontal="center" vertical="center"/>
    </xf>
    <xf numFmtId="2" fontId="97" fillId="8" borderId="5" xfId="0" applyNumberFormat="1" applyFont="1" applyFill="1" applyBorder="1" applyAlignment="1">
      <alignment horizontal="center" vertical="center"/>
    </xf>
    <xf numFmtId="169" fontId="98" fillId="8" borderId="89" xfId="0" applyNumberFormat="1" applyFont="1" applyFill="1" applyBorder="1" applyAlignment="1">
      <alignment horizontal="center" vertical="center"/>
    </xf>
    <xf numFmtId="169" fontId="2" fillId="8" borderId="102" xfId="0" applyNumberFormat="1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right" vertical="center"/>
    </xf>
    <xf numFmtId="170" fontId="2" fillId="2" borderId="1" xfId="0" applyNumberFormat="1" applyFont="1" applyFill="1" applyBorder="1" applyAlignment="1">
      <alignment vertical="center"/>
    </xf>
    <xf numFmtId="169" fontId="1" fillId="8" borderId="44" xfId="0" applyNumberFormat="1" applyFont="1" applyFill="1" applyBorder="1" applyAlignment="1">
      <alignment horizontal="center" vertical="center"/>
    </xf>
    <xf numFmtId="169" fontId="1" fillId="8" borderId="59" xfId="0" applyNumberFormat="1" applyFont="1" applyFill="1" applyBorder="1" applyAlignment="1">
      <alignment horizontal="left" vertical="center"/>
    </xf>
    <xf numFmtId="169" fontId="2" fillId="8" borderId="59" xfId="0" applyNumberFormat="1" applyFont="1" applyFill="1" applyBorder="1" applyAlignment="1">
      <alignment horizontal="center" vertical="center"/>
    </xf>
    <xf numFmtId="169" fontId="2" fillId="8" borderId="38" xfId="0" applyNumberFormat="1" applyFont="1" applyFill="1" applyBorder="1" applyAlignment="1">
      <alignment horizontal="center" vertical="center"/>
    </xf>
    <xf numFmtId="164" fontId="1" fillId="0" borderId="39" xfId="0" applyNumberFormat="1" applyFont="1" applyBorder="1" applyAlignment="1">
      <alignment vertical="center"/>
    </xf>
    <xf numFmtId="0" fontId="71" fillId="2" borderId="59" xfId="0" applyFont="1" applyFill="1" applyBorder="1" applyAlignment="1">
      <alignment horizontal="right" vertical="center"/>
    </xf>
    <xf numFmtId="166" fontId="71" fillId="2" borderId="38" xfId="0" applyNumberFormat="1" applyFont="1" applyFill="1" applyBorder="1" applyAlignment="1">
      <alignment horizontal="right" vertical="center"/>
    </xf>
    <xf numFmtId="164" fontId="95" fillId="2" borderId="44" xfId="0" applyNumberFormat="1" applyFont="1" applyFill="1" applyBorder="1" applyAlignment="1">
      <alignment horizontal="right" vertical="center"/>
    </xf>
    <xf numFmtId="164" fontId="95" fillId="2" borderId="38" xfId="0" applyNumberFormat="1" applyFont="1" applyFill="1" applyBorder="1" applyAlignment="1">
      <alignment horizontal="right" vertical="center"/>
    </xf>
    <xf numFmtId="164" fontId="96" fillId="0" borderId="0" xfId="0" applyNumberFormat="1" applyFont="1"/>
    <xf numFmtId="171" fontId="1" fillId="2" borderId="1" xfId="0" applyNumberFormat="1" applyFont="1" applyFill="1" applyBorder="1"/>
    <xf numFmtId="0" fontId="1" fillId="0" borderId="0" xfId="0" applyFont="1"/>
    <xf numFmtId="0" fontId="7" fillId="8" borderId="5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/>
    </xf>
    <xf numFmtId="171" fontId="1" fillId="2" borderId="1" xfId="0" applyNumberFormat="1" applyFont="1" applyFill="1" applyBorder="1" applyAlignment="1">
      <alignment horizontal="center" vertical="center" wrapText="1"/>
    </xf>
    <xf numFmtId="165" fontId="1" fillId="2" borderId="90" xfId="0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wrapText="1"/>
    </xf>
    <xf numFmtId="0" fontId="3" fillId="6" borderId="51" xfId="0" applyFont="1" applyFill="1" applyBorder="1"/>
    <xf numFmtId="172" fontId="3" fillId="6" borderId="3" xfId="0" applyNumberFormat="1" applyFont="1" applyFill="1" applyBorder="1" applyAlignment="1">
      <alignment horizontal="center"/>
    </xf>
    <xf numFmtId="0" fontId="3" fillId="3" borderId="60" xfId="0" applyFont="1" applyFill="1" applyBorder="1" applyAlignment="1">
      <alignment horizontal="center" vertical="center"/>
    </xf>
    <xf numFmtId="0" fontId="80" fillId="3" borderId="59" xfId="0" applyFont="1" applyFill="1" applyBorder="1" applyAlignment="1">
      <alignment vertical="center"/>
    </xf>
    <xf numFmtId="165" fontId="80" fillId="3" borderId="59" xfId="0" applyNumberFormat="1" applyFont="1" applyFill="1" applyBorder="1" applyAlignment="1">
      <alignment vertical="center"/>
    </xf>
    <xf numFmtId="165" fontId="80" fillId="3" borderId="91" xfId="0" applyNumberFormat="1" applyFont="1" applyFill="1" applyBorder="1" applyAlignment="1">
      <alignment vertical="center"/>
    </xf>
    <xf numFmtId="165" fontId="80" fillId="3" borderId="61" xfId="0" applyNumberFormat="1" applyFont="1" applyFill="1" applyBorder="1" applyAlignment="1">
      <alignment vertical="center"/>
    </xf>
    <xf numFmtId="165" fontId="80" fillId="3" borderId="60" xfId="0" applyNumberFormat="1" applyFont="1" applyFill="1" applyBorder="1" applyAlignment="1">
      <alignment vertical="center"/>
    </xf>
    <xf numFmtId="171" fontId="80" fillId="3" borderId="59" xfId="0" applyNumberFormat="1" applyFont="1" applyFill="1" applyBorder="1" applyAlignment="1">
      <alignment vertical="center"/>
    </xf>
    <xf numFmtId="165" fontId="80" fillId="3" borderId="38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171" fontId="2" fillId="8" borderId="102" xfId="0" applyNumberFormat="1" applyFont="1" applyFill="1" applyBorder="1" applyAlignment="1">
      <alignment vertical="center"/>
    </xf>
    <xf numFmtId="164" fontId="2" fillId="8" borderId="89" xfId="0" applyNumberFormat="1" applyFont="1" applyFill="1" applyBorder="1" applyAlignment="1">
      <alignment vertical="center"/>
    </xf>
    <xf numFmtId="172" fontId="2" fillId="8" borderId="90" xfId="0" applyNumberFormat="1" applyFont="1" applyFill="1" applyBorder="1" applyAlignment="1">
      <alignment vertical="center"/>
    </xf>
    <xf numFmtId="165" fontId="2" fillId="9" borderId="102" xfId="0" applyNumberFormat="1" applyFont="1" applyFill="1" applyBorder="1" applyAlignment="1">
      <alignment vertical="center"/>
    </xf>
    <xf numFmtId="173" fontId="2" fillId="9" borderId="1" xfId="0" applyNumberFormat="1" applyFont="1" applyFill="1" applyBorder="1" applyAlignment="1">
      <alignment vertical="center"/>
    </xf>
    <xf numFmtId="173" fontId="2" fillId="9" borderId="89" xfId="0" applyNumberFormat="1" applyFont="1" applyFill="1" applyBorder="1" applyAlignment="1">
      <alignment vertical="center"/>
    </xf>
    <xf numFmtId="173" fontId="2" fillId="9" borderId="90" xfId="0" applyNumberFormat="1" applyFont="1" applyFill="1" applyBorder="1" applyAlignment="1">
      <alignment vertical="center"/>
    </xf>
    <xf numFmtId="165" fontId="2" fillId="0" borderId="0" xfId="0" applyNumberFormat="1" applyFont="1" applyAlignment="1">
      <alignment vertical="center"/>
    </xf>
    <xf numFmtId="165" fontId="7" fillId="9" borderId="1" xfId="0" applyNumberFormat="1" applyFont="1" applyFill="1" applyBorder="1" applyAlignment="1">
      <alignment vertical="center"/>
    </xf>
    <xf numFmtId="165" fontId="7" fillId="9" borderId="102" xfId="0" applyNumberFormat="1" applyFont="1" applyFill="1" applyBorder="1" applyAlignment="1">
      <alignment vertical="center"/>
    </xf>
    <xf numFmtId="173" fontId="7" fillId="9" borderId="1" xfId="0" applyNumberFormat="1" applyFont="1" applyFill="1" applyBorder="1" applyAlignment="1">
      <alignment vertical="center"/>
    </xf>
    <xf numFmtId="173" fontId="7" fillId="9" borderId="89" xfId="0" applyNumberFormat="1" applyFont="1" applyFill="1" applyBorder="1" applyAlignment="1">
      <alignment vertical="center"/>
    </xf>
    <xf numFmtId="173" fontId="7" fillId="9" borderId="90" xfId="0" applyNumberFormat="1" applyFont="1" applyFill="1" applyBorder="1" applyAlignment="1">
      <alignment vertical="center"/>
    </xf>
    <xf numFmtId="173" fontId="7" fillId="9" borderId="1" xfId="0" applyNumberFormat="1" applyFont="1" applyFill="1" applyBorder="1" applyAlignment="1">
      <alignment horizontal="right" vertical="center"/>
    </xf>
    <xf numFmtId="172" fontId="2" fillId="8" borderId="90" xfId="0" applyNumberFormat="1" applyFont="1" applyFill="1" applyBorder="1" applyAlignment="1">
      <alignment horizontal="center" vertical="center"/>
    </xf>
    <xf numFmtId="166" fontId="3" fillId="3" borderId="60" xfId="0" applyNumberFormat="1" applyFont="1" applyFill="1" applyBorder="1" applyAlignment="1">
      <alignment horizontal="center" vertical="center"/>
    </xf>
    <xf numFmtId="166" fontId="80" fillId="3" borderId="59" xfId="0" applyNumberFormat="1" applyFont="1" applyFill="1" applyBorder="1" applyAlignment="1">
      <alignment vertical="center"/>
    </xf>
    <xf numFmtId="173" fontId="80" fillId="3" borderId="59" xfId="0" applyNumberFormat="1" applyFont="1" applyFill="1" applyBorder="1" applyAlignment="1">
      <alignment vertical="center"/>
    </xf>
    <xf numFmtId="173" fontId="80" fillId="3" borderId="60" xfId="0" applyNumberFormat="1" applyFont="1" applyFill="1" applyBorder="1" applyAlignment="1">
      <alignment vertical="center"/>
    </xf>
    <xf numFmtId="173" fontId="80" fillId="3" borderId="38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166" fontId="80" fillId="3" borderId="60" xfId="0" applyNumberFormat="1" applyFont="1" applyFill="1" applyBorder="1" applyAlignment="1">
      <alignment vertical="center"/>
    </xf>
    <xf numFmtId="0" fontId="2" fillId="8" borderId="102" xfId="0" applyFont="1" applyFill="1" applyBorder="1" applyAlignment="1">
      <alignment vertical="center"/>
    </xf>
    <xf numFmtId="0" fontId="2" fillId="8" borderId="89" xfId="0" applyFont="1" applyFill="1" applyBorder="1" applyAlignment="1">
      <alignment vertical="center"/>
    </xf>
    <xf numFmtId="165" fontId="71" fillId="9" borderId="1" xfId="0" applyNumberFormat="1" applyFont="1" applyFill="1" applyBorder="1" applyAlignment="1">
      <alignment vertical="center"/>
    </xf>
    <xf numFmtId="173" fontId="71" fillId="9" borderId="1" xfId="0" applyNumberFormat="1" applyFont="1" applyFill="1" applyBorder="1" applyAlignment="1">
      <alignment vertical="center"/>
    </xf>
    <xf numFmtId="173" fontId="71" fillId="9" borderId="89" xfId="0" applyNumberFormat="1" applyFont="1" applyFill="1" applyBorder="1" applyAlignment="1">
      <alignment vertical="center"/>
    </xf>
    <xf numFmtId="173" fontId="71" fillId="9" borderId="90" xfId="0" applyNumberFormat="1" applyFont="1" applyFill="1" applyBorder="1" applyAlignment="1">
      <alignment vertical="center"/>
    </xf>
    <xf numFmtId="166" fontId="2" fillId="9" borderId="60" xfId="0" applyNumberFormat="1" applyFont="1" applyFill="1" applyBorder="1" applyAlignment="1">
      <alignment vertical="center"/>
    </xf>
    <xf numFmtId="166" fontId="2" fillId="9" borderId="59" xfId="0" applyNumberFormat="1" applyFont="1" applyFill="1" applyBorder="1" applyAlignment="1">
      <alignment vertical="center"/>
    </xf>
    <xf numFmtId="165" fontId="2" fillId="9" borderId="59" xfId="0" applyNumberFormat="1" applyFont="1" applyFill="1" applyBorder="1" applyAlignment="1">
      <alignment vertical="center"/>
    </xf>
    <xf numFmtId="165" fontId="7" fillId="9" borderId="59" xfId="0" applyNumberFormat="1" applyFont="1" applyFill="1" applyBorder="1" applyAlignment="1">
      <alignment vertical="center"/>
    </xf>
    <xf numFmtId="165" fontId="7" fillId="9" borderId="61" xfId="0" applyNumberFormat="1" applyFont="1" applyFill="1" applyBorder="1" applyAlignment="1">
      <alignment vertical="center"/>
    </xf>
    <xf numFmtId="173" fontId="7" fillId="9" borderId="59" xfId="0" applyNumberFormat="1" applyFont="1" applyFill="1" applyBorder="1" applyAlignment="1">
      <alignment vertical="center"/>
    </xf>
    <xf numFmtId="173" fontId="7" fillId="9" borderId="60" xfId="0" applyNumberFormat="1" applyFont="1" applyFill="1" applyBorder="1" applyAlignment="1">
      <alignment vertical="center"/>
    </xf>
    <xf numFmtId="173" fontId="99" fillId="9" borderId="91" xfId="0" applyNumberFormat="1" applyFont="1" applyFill="1" applyBorder="1" applyAlignment="1">
      <alignment vertical="center"/>
    </xf>
    <xf numFmtId="164" fontId="71" fillId="2" borderId="1" xfId="0" applyNumberFormat="1" applyFont="1" applyFill="1" applyBorder="1" applyAlignment="1">
      <alignment vertical="center"/>
    </xf>
    <xf numFmtId="165" fontId="71" fillId="9" borderId="102" xfId="0" applyNumberFormat="1" applyFont="1" applyFill="1" applyBorder="1" applyAlignment="1">
      <alignment vertical="center"/>
    </xf>
    <xf numFmtId="166" fontId="1" fillId="9" borderId="92" xfId="0" applyNumberFormat="1" applyFont="1" applyFill="1" applyBorder="1" applyAlignment="1">
      <alignment vertical="center"/>
    </xf>
    <xf numFmtId="166" fontId="1" fillId="9" borderId="53" xfId="0" applyNumberFormat="1" applyFont="1" applyFill="1" applyBorder="1" applyAlignment="1">
      <alignment vertical="center"/>
    </xf>
    <xf numFmtId="165" fontId="1" fillId="9" borderId="53" xfId="0" applyNumberFormat="1" applyFont="1" applyFill="1" applyBorder="1" applyAlignment="1">
      <alignment vertical="center"/>
    </xf>
    <xf numFmtId="165" fontId="5" fillId="9" borderId="53" xfId="0" applyNumberFormat="1" applyFont="1" applyFill="1" applyBorder="1" applyAlignment="1">
      <alignment vertical="center"/>
    </xf>
    <xf numFmtId="165" fontId="77" fillId="9" borderId="37" xfId="0" applyNumberFormat="1" applyFont="1" applyFill="1" applyBorder="1" applyAlignment="1">
      <alignment vertical="center"/>
    </xf>
    <xf numFmtId="165" fontId="77" fillId="9" borderId="53" xfId="0" applyNumberFormat="1" applyFont="1" applyFill="1" applyBorder="1" applyAlignment="1">
      <alignment vertical="center"/>
    </xf>
    <xf numFmtId="173" fontId="77" fillId="9" borderId="53" xfId="0" applyNumberFormat="1" applyFont="1" applyFill="1" applyBorder="1" applyAlignment="1">
      <alignment vertical="center"/>
    </xf>
    <xf numFmtId="173" fontId="77" fillId="9" borderId="92" xfId="0" applyNumberFormat="1" applyFont="1" applyFill="1" applyBorder="1" applyAlignment="1">
      <alignment vertical="center"/>
    </xf>
    <xf numFmtId="173" fontId="77" fillId="9" borderId="93" xfId="0" applyNumberFormat="1" applyFont="1" applyFill="1" applyBorder="1" applyAlignment="1">
      <alignment vertical="center"/>
    </xf>
    <xf numFmtId="0" fontId="71" fillId="2" borderId="1" xfId="0" applyFont="1" applyFill="1" applyBorder="1" applyAlignment="1">
      <alignment vertical="center"/>
    </xf>
    <xf numFmtId="165" fontId="71" fillId="2" borderId="1" xfId="0" applyNumberFormat="1" applyFont="1" applyFill="1" applyBorder="1" applyAlignment="1">
      <alignment vertical="center"/>
    </xf>
    <xf numFmtId="171" fontId="95" fillId="2" borderId="1" xfId="0" applyNumberFormat="1" applyFont="1" applyFill="1" applyBorder="1" applyAlignment="1">
      <alignment horizontal="right" vertical="center"/>
    </xf>
    <xf numFmtId="168" fontId="3" fillId="3" borderId="55" xfId="0" applyNumberFormat="1" applyFont="1" applyFill="1" applyBorder="1" applyAlignment="1">
      <alignment vertical="center"/>
    </xf>
    <xf numFmtId="0" fontId="2" fillId="8" borderId="37" xfId="0" applyFont="1" applyFill="1" applyBorder="1" applyAlignment="1">
      <alignment vertical="center"/>
    </xf>
    <xf numFmtId="0" fontId="2" fillId="8" borderId="92" xfId="0" applyFont="1" applyFill="1" applyBorder="1" applyAlignment="1">
      <alignment vertical="center"/>
    </xf>
    <xf numFmtId="172" fontId="2" fillId="8" borderId="93" xfId="0" applyNumberFormat="1" applyFont="1" applyFill="1" applyBorder="1" applyAlignment="1">
      <alignment vertical="center"/>
    </xf>
    <xf numFmtId="171" fontId="2" fillId="2" borderId="1" xfId="0" applyNumberFormat="1" applyFont="1" applyFill="1" applyBorder="1"/>
    <xf numFmtId="0" fontId="77" fillId="2" borderId="1" xfId="0" applyFont="1" applyFill="1" applyBorder="1"/>
    <xf numFmtId="164" fontId="3" fillId="3" borderId="3" xfId="0" applyNumberFormat="1" applyFont="1" applyFill="1" applyBorder="1"/>
    <xf numFmtId="166" fontId="77" fillId="9" borderId="103" xfId="0" applyNumberFormat="1" applyFont="1" applyFill="1" applyBorder="1" applyAlignment="1">
      <alignment horizontal="center" vertical="center" wrapText="1"/>
    </xf>
    <xf numFmtId="166" fontId="77" fillId="9" borderId="104" xfId="0" applyNumberFormat="1" applyFont="1" applyFill="1" applyBorder="1" applyAlignment="1">
      <alignment horizontal="center" vertical="center" wrapText="1"/>
    </xf>
    <xf numFmtId="165" fontId="77" fillId="9" borderId="104" xfId="0" applyNumberFormat="1" applyFont="1" applyFill="1" applyBorder="1" applyAlignment="1">
      <alignment horizontal="center" vertical="center" wrapText="1"/>
    </xf>
    <xf numFmtId="173" fontId="77" fillId="9" borderId="104" xfId="0" applyNumberFormat="1" applyFont="1" applyFill="1" applyBorder="1" applyAlignment="1">
      <alignment horizontal="center" vertical="center" wrapText="1"/>
    </xf>
    <xf numFmtId="173" fontId="77" fillId="9" borderId="105" xfId="0" applyNumberFormat="1" applyFont="1" applyFill="1" applyBorder="1" applyAlignment="1">
      <alignment horizontal="center" vertical="center" wrapText="1"/>
    </xf>
    <xf numFmtId="0" fontId="7" fillId="0" borderId="106" xfId="0" applyFont="1" applyBorder="1" applyAlignment="1">
      <alignment vertical="center"/>
    </xf>
    <xf numFmtId="0" fontId="7" fillId="0" borderId="107" xfId="0" applyFont="1" applyBorder="1" applyAlignment="1">
      <alignment vertical="center"/>
    </xf>
    <xf numFmtId="165" fontId="7" fillId="0" borderId="108" xfId="0" applyNumberFormat="1" applyFont="1" applyBorder="1" applyAlignment="1">
      <alignment vertical="center"/>
    </xf>
    <xf numFmtId="165" fontId="7" fillId="0" borderId="109" xfId="0" applyNumberFormat="1" applyFont="1" applyBorder="1" applyAlignment="1">
      <alignment vertical="center"/>
    </xf>
    <xf numFmtId="9" fontId="7" fillId="0" borderId="109" xfId="0" applyNumberFormat="1" applyFont="1" applyBorder="1" applyAlignment="1">
      <alignment vertical="center"/>
    </xf>
    <xf numFmtId="165" fontId="7" fillId="0" borderId="110" xfId="0" applyNumberFormat="1" applyFont="1" applyBorder="1" applyAlignment="1">
      <alignment vertical="center"/>
    </xf>
    <xf numFmtId="164" fontId="3" fillId="6" borderId="5" xfId="0" applyNumberFormat="1" applyFont="1" applyFill="1" applyBorder="1" applyAlignment="1">
      <alignment vertical="center"/>
    </xf>
    <xf numFmtId="0" fontId="3" fillId="6" borderId="5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166" fontId="7" fillId="9" borderId="89" xfId="0" applyNumberFormat="1" applyFont="1" applyFill="1" applyBorder="1" applyAlignment="1">
      <alignment vertical="center"/>
    </xf>
    <xf numFmtId="166" fontId="7" fillId="9" borderId="1" xfId="0" applyNumberFormat="1" applyFont="1" applyFill="1" applyBorder="1" applyAlignment="1">
      <alignment vertical="center"/>
    </xf>
    <xf numFmtId="173" fontId="7" fillId="9" borderId="102" xfId="0" applyNumberFormat="1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171" fontId="2" fillId="8" borderId="90" xfId="0" applyNumberFormat="1" applyFont="1" applyFill="1" applyBorder="1" applyAlignment="1">
      <alignment vertical="center"/>
    </xf>
    <xf numFmtId="10" fontId="2" fillId="8" borderId="90" xfId="0" applyNumberFormat="1" applyFont="1" applyFill="1" applyBorder="1" applyAlignment="1">
      <alignment vertical="center"/>
    </xf>
    <xf numFmtId="2" fontId="2" fillId="8" borderId="1" xfId="0" applyNumberFormat="1" applyFont="1" applyFill="1" applyBorder="1" applyAlignment="1">
      <alignment vertical="center"/>
    </xf>
    <xf numFmtId="166" fontId="2" fillId="2" borderId="60" xfId="0" applyNumberFormat="1" applyFont="1" applyFill="1" applyBorder="1" applyAlignment="1">
      <alignment vertical="center"/>
    </xf>
    <xf numFmtId="166" fontId="71" fillId="2" borderId="59" xfId="0" applyNumberFormat="1" applyFont="1" applyFill="1" applyBorder="1" applyAlignment="1">
      <alignment vertical="center"/>
    </xf>
    <xf numFmtId="165" fontId="71" fillId="2" borderId="59" xfId="0" applyNumberFormat="1" applyFont="1" applyFill="1" applyBorder="1" applyAlignment="1">
      <alignment vertical="center"/>
    </xf>
    <xf numFmtId="173" fontId="71" fillId="2" borderId="61" xfId="0" applyNumberFormat="1" applyFont="1" applyFill="1" applyBorder="1" applyAlignment="1">
      <alignment vertical="center"/>
    </xf>
    <xf numFmtId="173" fontId="71" fillId="2" borderId="60" xfId="0" applyNumberFormat="1" applyFont="1" applyFill="1" applyBorder="1" applyAlignment="1">
      <alignment vertical="center"/>
    </xf>
    <xf numFmtId="173" fontId="71" fillId="2" borderId="111" xfId="0" applyNumberFormat="1" applyFont="1" applyFill="1" applyBorder="1" applyAlignment="1">
      <alignment vertical="center"/>
    </xf>
    <xf numFmtId="167" fontId="2" fillId="2" borderId="1" xfId="0" applyNumberFormat="1" applyFont="1" applyFill="1" applyBorder="1" applyAlignment="1">
      <alignment vertical="center"/>
    </xf>
    <xf numFmtId="0" fontId="3" fillId="6" borderId="2" xfId="0" applyFont="1" applyFill="1" applyBorder="1" applyAlignment="1">
      <alignment horizontal="center" vertical="center"/>
    </xf>
    <xf numFmtId="164" fontId="2" fillId="8" borderId="92" xfId="0" applyNumberFormat="1" applyFont="1" applyFill="1" applyBorder="1" applyAlignment="1">
      <alignment vertical="center"/>
    </xf>
    <xf numFmtId="2" fontId="2" fillId="8" borderId="53" xfId="0" applyNumberFormat="1" applyFont="1" applyFill="1" applyBorder="1" applyAlignment="1">
      <alignment vertical="center"/>
    </xf>
    <xf numFmtId="10" fontId="2" fillId="8" borderId="93" xfId="0" applyNumberFormat="1" applyFont="1" applyFill="1" applyBorder="1" applyAlignment="1">
      <alignment vertical="center"/>
    </xf>
    <xf numFmtId="166" fontId="71" fillId="9" borderId="60" xfId="0" applyNumberFormat="1" applyFont="1" applyFill="1" applyBorder="1" applyAlignment="1">
      <alignment vertical="center"/>
    </xf>
    <xf numFmtId="166" fontId="7" fillId="9" borderId="59" xfId="0" applyNumberFormat="1" applyFont="1" applyFill="1" applyBorder="1" applyAlignment="1">
      <alignment vertical="center"/>
    </xf>
    <xf numFmtId="173" fontId="7" fillId="9" borderId="61" xfId="0" applyNumberFormat="1" applyFont="1" applyFill="1" applyBorder="1" applyAlignment="1">
      <alignment vertical="center"/>
    </xf>
    <xf numFmtId="173" fontId="7" fillId="9" borderId="111" xfId="0" applyNumberFormat="1" applyFont="1" applyFill="1" applyBorder="1" applyAlignment="1">
      <alignment vertical="center"/>
    </xf>
    <xf numFmtId="166" fontId="71" fillId="9" borderId="92" xfId="0" applyNumberFormat="1" applyFont="1" applyFill="1" applyBorder="1" applyAlignment="1">
      <alignment vertical="center"/>
    </xf>
    <xf numFmtId="166" fontId="71" fillId="9" borderId="53" xfId="0" applyNumberFormat="1" applyFont="1" applyFill="1" applyBorder="1" applyAlignment="1">
      <alignment vertical="center"/>
    </xf>
    <xf numFmtId="165" fontId="71" fillId="9" borderId="53" xfId="0" applyNumberFormat="1" applyFont="1" applyFill="1" applyBorder="1" applyAlignment="1">
      <alignment vertical="center"/>
    </xf>
    <xf numFmtId="173" fontId="7" fillId="9" borderId="37" xfId="0" applyNumberFormat="1" applyFont="1" applyFill="1" applyBorder="1" applyAlignment="1">
      <alignment vertical="center"/>
    </xf>
    <xf numFmtId="173" fontId="1" fillId="2" borderId="1" xfId="0" applyNumberFormat="1" applyFont="1" applyFill="1" applyBorder="1" applyAlignment="1">
      <alignment vertical="center"/>
    </xf>
    <xf numFmtId="173" fontId="8" fillId="2" borderId="1" xfId="0" applyNumberFormat="1" applyFont="1" applyFill="1" applyBorder="1" applyAlignment="1">
      <alignment vertical="center"/>
    </xf>
    <xf numFmtId="173" fontId="9" fillId="2" borderId="1" xfId="0" applyNumberFormat="1" applyFont="1" applyFill="1" applyBorder="1" applyAlignment="1">
      <alignment vertical="center"/>
    </xf>
    <xf numFmtId="173" fontId="99" fillId="9" borderId="102" xfId="0" applyNumberFormat="1" applyFont="1" applyFill="1" applyBorder="1" applyAlignment="1">
      <alignment vertical="center"/>
    </xf>
    <xf numFmtId="171" fontId="3" fillId="14" borderId="4" xfId="0" applyNumberFormat="1" applyFont="1" applyFill="1" applyBorder="1" applyAlignment="1">
      <alignment vertical="center"/>
    </xf>
    <xf numFmtId="173" fontId="7" fillId="9" borderId="5" xfId="0" applyNumberFormat="1" applyFont="1" applyFill="1" applyBorder="1" applyAlignment="1">
      <alignment vertical="center"/>
    </xf>
    <xf numFmtId="0" fontId="2" fillId="8" borderId="90" xfId="0" applyFont="1" applyFill="1" applyBorder="1" applyAlignment="1">
      <alignment vertical="center"/>
    </xf>
    <xf numFmtId="0" fontId="100" fillId="2" borderId="53" xfId="0" applyFont="1" applyFill="1" applyBorder="1" applyAlignment="1">
      <alignment vertical="center"/>
    </xf>
    <xf numFmtId="0" fontId="101" fillId="0" borderId="112" xfId="0" applyFont="1" applyBorder="1"/>
    <xf numFmtId="0" fontId="7" fillId="0" borderId="0" xfId="0" applyFont="1" applyAlignment="1">
      <alignment horizontal="right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/>
    <xf numFmtId="165" fontId="3" fillId="3" borderId="51" xfId="0" applyNumberFormat="1" applyFont="1" applyFill="1" applyBorder="1" applyAlignment="1">
      <alignment vertical="center"/>
    </xf>
    <xf numFmtId="165" fontId="3" fillId="3" borderId="51" xfId="0" applyNumberFormat="1" applyFont="1" applyFill="1" applyBorder="1" applyAlignment="1">
      <alignment horizontal="center" vertical="center"/>
    </xf>
    <xf numFmtId="9" fontId="3" fillId="3" borderId="5" xfId="0" applyNumberFormat="1" applyFont="1" applyFill="1" applyBorder="1" applyAlignment="1">
      <alignment horizontal="center" vertical="center"/>
    </xf>
    <xf numFmtId="165" fontId="3" fillId="3" borderId="98" xfId="0" applyNumberFormat="1" applyFont="1" applyFill="1" applyBorder="1" applyAlignment="1">
      <alignment vertical="center"/>
    </xf>
    <xf numFmtId="165" fontId="80" fillId="3" borderId="100" xfId="0" applyNumberFormat="1" applyFont="1" applyFill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66" fontId="102" fillId="9" borderId="89" xfId="0" applyNumberFormat="1" applyFont="1" applyFill="1" applyBorder="1" applyAlignment="1">
      <alignment horizontal="center" vertical="center"/>
    </xf>
    <xf numFmtId="170" fontId="71" fillId="9" borderId="113" xfId="0" applyNumberFormat="1" applyFont="1" applyFill="1" applyBorder="1" applyAlignment="1">
      <alignment vertical="center"/>
    </xf>
    <xf numFmtId="164" fontId="2" fillId="2" borderId="89" xfId="0" applyNumberFormat="1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vertical="center"/>
    </xf>
    <xf numFmtId="166" fontId="97" fillId="9" borderId="89" xfId="0" applyNumberFormat="1" applyFont="1" applyFill="1" applyBorder="1" applyAlignment="1">
      <alignment horizontal="center" vertical="center"/>
    </xf>
    <xf numFmtId="170" fontId="71" fillId="9" borderId="114" xfId="0" applyNumberFormat="1" applyFont="1" applyFill="1" applyBorder="1" applyAlignment="1">
      <alignment vertical="center"/>
    </xf>
    <xf numFmtId="39" fontId="7" fillId="9" borderId="114" xfId="0" applyNumberFormat="1" applyFont="1" applyFill="1" applyBorder="1" applyAlignment="1">
      <alignment vertical="center"/>
    </xf>
    <xf numFmtId="164" fontId="1" fillId="2" borderId="51" xfId="0" applyNumberFormat="1" applyFont="1" applyFill="1" applyBorder="1" applyAlignment="1">
      <alignment vertical="center"/>
    </xf>
    <xf numFmtId="166" fontId="77" fillId="9" borderId="51" xfId="0" applyNumberFormat="1" applyFont="1" applyFill="1" applyBorder="1" applyAlignment="1">
      <alignment vertical="center"/>
    </xf>
    <xf numFmtId="170" fontId="77" fillId="9" borderId="115" xfId="0" applyNumberFormat="1" applyFont="1" applyFill="1" applyBorder="1" applyAlignment="1">
      <alignment vertical="center"/>
    </xf>
    <xf numFmtId="166" fontId="77" fillId="9" borderId="89" xfId="0" applyNumberFormat="1" applyFont="1" applyFill="1" applyBorder="1" applyAlignment="1">
      <alignment vertical="center"/>
    </xf>
    <xf numFmtId="170" fontId="77" fillId="9" borderId="114" xfId="0" applyNumberFormat="1" applyFont="1" applyFill="1" applyBorder="1" applyAlignment="1">
      <alignment vertical="center"/>
    </xf>
    <xf numFmtId="164" fontId="1" fillId="2" borderId="98" xfId="0" applyNumberFormat="1" applyFont="1" applyFill="1" applyBorder="1" applyAlignment="1">
      <alignment vertical="center"/>
    </xf>
    <xf numFmtId="173" fontId="77" fillId="9" borderId="101" xfId="0" applyNumberFormat="1" applyFont="1" applyFill="1" applyBorder="1" applyAlignment="1">
      <alignment vertical="center"/>
    </xf>
    <xf numFmtId="166" fontId="103" fillId="9" borderId="89" xfId="0" applyNumberFormat="1" applyFont="1" applyFill="1" applyBorder="1" applyAlignment="1">
      <alignment horizontal="center" vertical="center"/>
    </xf>
    <xf numFmtId="164" fontId="1" fillId="2" borderId="92" xfId="0" applyNumberFormat="1" applyFont="1" applyFill="1" applyBorder="1" applyAlignment="1">
      <alignment vertical="center"/>
    </xf>
    <xf numFmtId="168" fontId="77" fillId="9" borderId="37" xfId="0" applyNumberFormat="1" applyFont="1" applyFill="1" applyBorder="1" applyAlignment="1">
      <alignment vertical="center"/>
    </xf>
    <xf numFmtId="165" fontId="71" fillId="3" borderId="100" xfId="0" applyNumberFormat="1" applyFont="1" applyFill="1" applyBorder="1" applyAlignment="1">
      <alignment vertical="center"/>
    </xf>
    <xf numFmtId="170" fontId="7" fillId="9" borderId="114" xfId="0" applyNumberFormat="1" applyFont="1" applyFill="1" applyBorder="1" applyAlignment="1">
      <alignment horizontal="center" vertical="center"/>
    </xf>
    <xf numFmtId="173" fontId="77" fillId="9" borderId="5" xfId="0" applyNumberFormat="1" applyFont="1" applyFill="1" applyBorder="1" applyAlignment="1">
      <alignment vertical="center"/>
    </xf>
    <xf numFmtId="170" fontId="77" fillId="9" borderId="115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vertical="center"/>
    </xf>
    <xf numFmtId="166" fontId="71" fillId="9" borderId="98" xfId="0" applyNumberFormat="1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165" fontId="2" fillId="9" borderId="5" xfId="0" applyNumberFormat="1" applyFont="1" applyFill="1" applyBorder="1" applyAlignment="1">
      <alignment vertical="center"/>
    </xf>
    <xf numFmtId="170" fontId="7" fillId="9" borderId="114" xfId="0" applyNumberFormat="1" applyFont="1" applyFill="1" applyBorder="1" applyAlignment="1">
      <alignment vertical="center"/>
    </xf>
    <xf numFmtId="166" fontId="7" fillId="9" borderId="114" xfId="0" applyNumberFormat="1" applyFont="1" applyFill="1" applyBorder="1" applyAlignment="1">
      <alignment horizontal="right" vertical="center"/>
    </xf>
    <xf numFmtId="166" fontId="7" fillId="9" borderId="102" xfId="0" applyNumberFormat="1" applyFont="1" applyFill="1" applyBorder="1" applyAlignment="1">
      <alignment vertical="center"/>
    </xf>
    <xf numFmtId="166" fontId="77" fillId="9" borderId="5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7" fillId="9" borderId="89" xfId="0" applyFont="1" applyFill="1" applyBorder="1" applyAlignment="1">
      <alignment horizontal="right" vertical="center"/>
    </xf>
    <xf numFmtId="170" fontId="7" fillId="9" borderId="114" xfId="0" applyNumberFormat="1" applyFont="1" applyFill="1" applyBorder="1" applyAlignment="1">
      <alignment horizontal="right" vertical="center"/>
    </xf>
    <xf numFmtId="9" fontId="7" fillId="9" borderId="102" xfId="0" applyNumberFormat="1" applyFont="1" applyFill="1" applyBorder="1" applyAlignment="1">
      <alignment horizontal="right" vertical="center"/>
    </xf>
    <xf numFmtId="164" fontId="2" fillId="2" borderId="92" xfId="0" applyNumberFormat="1" applyFont="1" applyFill="1" applyBorder="1" applyAlignment="1">
      <alignment vertical="center"/>
    </xf>
    <xf numFmtId="9" fontId="7" fillId="9" borderId="37" xfId="0" applyNumberFormat="1" applyFont="1" applyFill="1" applyBorder="1" applyAlignment="1">
      <alignment horizontal="right" vertical="center"/>
    </xf>
    <xf numFmtId="165" fontId="3" fillId="3" borderId="100" xfId="0" applyNumberFormat="1" applyFont="1" applyFill="1" applyBorder="1" applyAlignment="1">
      <alignment vertical="center"/>
    </xf>
    <xf numFmtId="9" fontId="7" fillId="9" borderId="102" xfId="0" applyNumberFormat="1" applyFont="1" applyFill="1" applyBorder="1" applyAlignment="1">
      <alignment vertical="center"/>
    </xf>
    <xf numFmtId="9" fontId="77" fillId="9" borderId="5" xfId="0" applyNumberFormat="1" applyFont="1" applyFill="1" applyBorder="1" applyAlignment="1">
      <alignment vertical="center"/>
    </xf>
    <xf numFmtId="166" fontId="71" fillId="9" borderId="89" xfId="0" applyNumberFormat="1" applyFont="1" applyFill="1" applyBorder="1" applyAlignment="1">
      <alignment vertical="center"/>
    </xf>
    <xf numFmtId="164" fontId="3" fillId="3" borderId="116" xfId="0" applyNumberFormat="1" applyFont="1" applyFill="1" applyBorder="1" applyAlignment="1">
      <alignment vertical="center"/>
    </xf>
    <xf numFmtId="166" fontId="103" fillId="9" borderId="117" xfId="0" applyNumberFormat="1" applyFont="1" applyFill="1" applyBorder="1" applyAlignment="1">
      <alignment horizontal="center" vertical="center"/>
    </xf>
    <xf numFmtId="170" fontId="7" fillId="9" borderId="118" xfId="0" applyNumberFormat="1" applyFont="1" applyFill="1" applyBorder="1" applyAlignment="1">
      <alignment vertical="center"/>
    </xf>
    <xf numFmtId="164" fontId="1" fillId="2" borderId="119" xfId="0" applyNumberFormat="1" applyFont="1" applyFill="1" applyBorder="1" applyAlignment="1">
      <alignment vertical="center"/>
    </xf>
    <xf numFmtId="166" fontId="7" fillId="9" borderId="120" xfId="0" applyNumberFormat="1" applyFont="1" applyFill="1" applyBorder="1" applyAlignment="1">
      <alignment vertical="center"/>
    </xf>
    <xf numFmtId="170" fontId="7" fillId="9" borderId="118" xfId="0" applyNumberFormat="1" applyFont="1" applyFill="1" applyBorder="1" applyAlignment="1">
      <alignment horizontal="center" vertical="center"/>
    </xf>
    <xf numFmtId="164" fontId="2" fillId="2" borderId="121" xfId="0" applyNumberFormat="1" applyFont="1" applyFill="1" applyBorder="1" applyAlignment="1">
      <alignment vertical="center"/>
    </xf>
    <xf numFmtId="166" fontId="7" fillId="9" borderId="122" xfId="0" applyNumberFormat="1" applyFont="1" applyFill="1" applyBorder="1" applyAlignment="1">
      <alignment vertical="center"/>
    </xf>
    <xf numFmtId="170" fontId="7" fillId="9" borderId="123" xfId="0" applyNumberFormat="1" applyFont="1" applyFill="1" applyBorder="1" applyAlignment="1">
      <alignment horizontal="center" vertical="center"/>
    </xf>
    <xf numFmtId="164" fontId="1" fillId="2" borderId="124" xfId="0" applyNumberFormat="1" applyFont="1" applyFill="1" applyBorder="1" applyAlignment="1">
      <alignment vertical="center"/>
    </xf>
    <xf numFmtId="164" fontId="2" fillId="2" borderId="53" xfId="0" applyNumberFormat="1" applyFont="1" applyFill="1" applyBorder="1" applyAlignment="1">
      <alignment vertical="center"/>
    </xf>
    <xf numFmtId="166" fontId="7" fillId="9" borderId="125" xfId="0" applyNumberFormat="1" applyFont="1" applyFill="1" applyBorder="1" applyAlignment="1">
      <alignment vertical="center"/>
    </xf>
    <xf numFmtId="0" fontId="71" fillId="0" borderId="0" xfId="0" applyFont="1" applyAlignment="1">
      <alignment vertical="center"/>
    </xf>
    <xf numFmtId="0" fontId="71" fillId="9" borderId="89" xfId="0" applyFont="1" applyFill="1" applyBorder="1" applyAlignment="1">
      <alignment horizontal="right" vertical="center"/>
    </xf>
    <xf numFmtId="170" fontId="71" fillId="9" borderId="114" xfId="0" applyNumberFormat="1" applyFont="1" applyFill="1" applyBorder="1" applyAlignment="1">
      <alignment horizontal="right" vertical="center"/>
    </xf>
    <xf numFmtId="170" fontId="7" fillId="0" borderId="0" xfId="0" applyNumberFormat="1" applyFont="1" applyAlignment="1">
      <alignment horizontal="right"/>
    </xf>
    <xf numFmtId="0" fontId="3" fillId="3" borderId="39" xfId="0" applyFont="1" applyFill="1" applyBorder="1" applyAlignment="1">
      <alignment horizontal="center"/>
    </xf>
    <xf numFmtId="0" fontId="14" fillId="0" borderId="40" xfId="0" applyFont="1" applyBorder="1"/>
    <xf numFmtId="0" fontId="14" fillId="0" borderId="41" xfId="0" applyFont="1" applyBorder="1"/>
    <xf numFmtId="0" fontId="14" fillId="0" borderId="42" xfId="0" applyFont="1" applyBorder="1"/>
    <xf numFmtId="0" fontId="3" fillId="3" borderId="43" xfId="0" applyFont="1" applyFill="1" applyBorder="1" applyAlignment="1">
      <alignment horizontal="center"/>
    </xf>
    <xf numFmtId="0" fontId="3" fillId="6" borderId="95" xfId="0" applyFont="1" applyFill="1" applyBorder="1" applyAlignment="1">
      <alignment horizontal="center" vertical="center" wrapText="1"/>
    </xf>
    <xf numFmtId="0" fontId="14" fillId="0" borderId="96" xfId="0" applyFont="1" applyBorder="1"/>
    <xf numFmtId="0" fontId="14" fillId="0" borderId="97" xfId="0" applyFont="1" applyBorder="1"/>
    <xf numFmtId="0" fontId="1" fillId="8" borderId="95" xfId="0" applyFont="1" applyFill="1" applyBorder="1" applyAlignment="1">
      <alignment horizontal="center"/>
    </xf>
    <xf numFmtId="0" fontId="3" fillId="3" borderId="9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  <outlinePr summaryBelow="0" summaryRight="0"/>
  </sheetPr>
  <dimension ref="A1:I1000"/>
  <sheetViews>
    <sheetView tabSelected="1" workbookViewId="0">
      <selection activeCell="K15" sqref="K15"/>
    </sheetView>
  </sheetViews>
  <sheetFormatPr defaultColWidth="14.42578125" defaultRowHeight="15" customHeight="1"/>
  <cols>
    <col min="1" max="1" width="1.42578125" customWidth="1"/>
    <col min="2" max="2" width="6.140625" customWidth="1"/>
    <col min="3" max="3" width="2.85546875" customWidth="1"/>
    <col min="4" max="4" width="111.140625" customWidth="1"/>
    <col min="5" max="5" width="16.28515625" customWidth="1"/>
    <col min="6" max="9" width="8" hidden="1" customWidth="1"/>
    <col min="10" max="26" width="17.28515625" customWidth="1"/>
  </cols>
  <sheetData>
    <row r="1" spans="1:9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/>
      <c r="B2" s="4"/>
      <c r="C2" s="5"/>
      <c r="D2" s="5"/>
      <c r="E2" s="5"/>
      <c r="F2" s="5"/>
      <c r="G2" s="6"/>
      <c r="H2" s="7"/>
      <c r="I2" s="8"/>
    </row>
    <row r="3" spans="1:9" ht="14.25" customHeight="1">
      <c r="A3" s="1" t="s">
        <v>1</v>
      </c>
      <c r="B3" s="2"/>
      <c r="C3" s="2"/>
      <c r="D3" s="2"/>
      <c r="E3" s="2"/>
      <c r="F3" s="2"/>
      <c r="G3" s="2"/>
      <c r="H3" s="2"/>
      <c r="I3" s="2"/>
    </row>
    <row r="4" spans="1:9" ht="14.25" customHeight="1">
      <c r="A4" s="2"/>
      <c r="B4" s="9">
        <v>25</v>
      </c>
      <c r="C4" s="10" t="s">
        <v>2</v>
      </c>
      <c r="D4" s="1" t="s">
        <v>3</v>
      </c>
      <c r="E4" s="2"/>
      <c r="F4" s="2"/>
      <c r="G4" s="2"/>
      <c r="H4" s="2"/>
      <c r="I4" s="2"/>
    </row>
    <row r="5" spans="1:9" ht="14.25" customHeight="1">
      <c r="A5" s="2"/>
      <c r="B5" s="7"/>
      <c r="C5" s="10"/>
      <c r="D5" s="11" t="s">
        <v>4</v>
      </c>
      <c r="E5" s="2"/>
      <c r="F5" s="2"/>
      <c r="G5" s="2"/>
      <c r="H5" s="2"/>
      <c r="I5" s="2"/>
    </row>
    <row r="6" spans="1:9" ht="14.25" customHeight="1">
      <c r="A6" s="2"/>
      <c r="B6" s="2"/>
      <c r="C6" s="2"/>
      <c r="D6" s="2" t="s">
        <v>5</v>
      </c>
      <c r="E6" s="2"/>
      <c r="F6" s="2"/>
      <c r="G6" s="2"/>
      <c r="H6" s="2"/>
      <c r="I6" s="2"/>
    </row>
    <row r="7" spans="1:9" ht="14.25" customHeight="1">
      <c r="A7" s="2"/>
      <c r="B7" s="2"/>
      <c r="C7" s="2"/>
      <c r="D7" s="2" t="s">
        <v>6</v>
      </c>
      <c r="E7" s="2"/>
      <c r="F7" s="2"/>
      <c r="G7" s="2"/>
      <c r="H7" s="2"/>
      <c r="I7" s="2"/>
    </row>
    <row r="8" spans="1:9" ht="14.25" customHeight="1">
      <c r="A8" s="2"/>
      <c r="B8" s="2"/>
      <c r="C8" s="2"/>
      <c r="D8" s="2" t="s">
        <v>7</v>
      </c>
      <c r="E8" s="2"/>
      <c r="F8" s="2"/>
      <c r="G8" s="2"/>
      <c r="H8" s="2"/>
      <c r="I8" s="2"/>
    </row>
    <row r="9" spans="1:9" ht="14.25" customHeight="1">
      <c r="A9" s="2"/>
      <c r="B9" s="2"/>
      <c r="C9" s="2"/>
      <c r="D9" s="2" t="s">
        <v>8</v>
      </c>
      <c r="E9" s="2"/>
      <c r="F9" s="2"/>
      <c r="G9" s="2"/>
      <c r="H9" s="2"/>
      <c r="I9" s="2"/>
    </row>
    <row r="10" spans="1:9" ht="14.25" customHeight="1">
      <c r="A10" s="2"/>
      <c r="B10" s="2"/>
      <c r="C10" s="12"/>
      <c r="D10" s="2"/>
      <c r="E10" s="2"/>
      <c r="F10" s="2"/>
      <c r="G10" s="2"/>
      <c r="H10" s="2"/>
      <c r="I10" s="2"/>
    </row>
    <row r="11" spans="1:9" ht="14.25" customHeight="1">
      <c r="A11" s="2"/>
      <c r="C11" s="2"/>
      <c r="D11" s="2"/>
      <c r="E11" s="2"/>
      <c r="F11" s="2"/>
      <c r="G11" s="2"/>
      <c r="H11" s="2"/>
      <c r="I11" s="2"/>
    </row>
    <row r="12" spans="1:9" ht="14.25" customHeight="1">
      <c r="A12" s="2"/>
      <c r="B12" s="13">
        <f>B4</f>
        <v>25</v>
      </c>
      <c r="C12" s="12" t="s">
        <v>9</v>
      </c>
      <c r="D12" s="1" t="s">
        <v>10</v>
      </c>
      <c r="E12" s="2"/>
      <c r="F12" s="2"/>
      <c r="G12" s="2"/>
      <c r="H12" s="2"/>
      <c r="I12" s="2"/>
    </row>
    <row r="13" spans="1:9" ht="14.25" customHeight="1">
      <c r="A13" s="2"/>
      <c r="B13" s="2"/>
      <c r="C13" s="2"/>
      <c r="D13" s="2" t="s">
        <v>11</v>
      </c>
      <c r="E13" s="2"/>
      <c r="F13" s="2"/>
      <c r="G13" s="2"/>
      <c r="H13" s="2"/>
      <c r="I13" s="2"/>
    </row>
    <row r="14" spans="1:9" ht="14.25" customHeight="1">
      <c r="A14" s="2"/>
      <c r="B14" s="2"/>
      <c r="C14" s="2"/>
      <c r="D14" s="2" t="s">
        <v>12</v>
      </c>
      <c r="E14" s="2"/>
      <c r="F14" s="2"/>
      <c r="G14" s="2"/>
      <c r="H14" s="2"/>
      <c r="I14" s="2"/>
    </row>
    <row r="15" spans="1:9" ht="14.25" customHeight="1">
      <c r="A15" s="2"/>
      <c r="B15" s="2"/>
      <c r="C15" s="2"/>
      <c r="D15" s="1" t="s">
        <v>13</v>
      </c>
      <c r="E15" s="2"/>
      <c r="F15" s="2"/>
      <c r="G15" s="2"/>
      <c r="H15" s="2"/>
      <c r="I15" s="2"/>
    </row>
    <row r="16" spans="1:9" ht="14.25" customHeight="1">
      <c r="A16" s="2"/>
      <c r="B16" s="1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 hidden="1">
      <c r="A18" s="2"/>
      <c r="B18" s="2"/>
      <c r="C18" s="2"/>
      <c r="D18" s="2"/>
      <c r="E18" s="2"/>
      <c r="F18" s="2"/>
      <c r="G18" s="2"/>
      <c r="H18" s="2"/>
      <c r="I18" s="2"/>
    </row>
    <row r="19" spans="1:9" hidden="1">
      <c r="A19" s="2"/>
      <c r="B19" s="2"/>
      <c r="C19" s="2"/>
      <c r="D19" s="2"/>
      <c r="E19" s="2"/>
      <c r="F19" s="2"/>
      <c r="G19" s="2"/>
      <c r="H19" s="2"/>
      <c r="I19" s="2"/>
    </row>
    <row r="20" spans="1:9" ht="12" hidden="1" customHeight="1">
      <c r="A20" s="2"/>
      <c r="B20" s="2"/>
      <c r="C20" s="2"/>
      <c r="D20" s="2"/>
      <c r="E20" s="2"/>
      <c r="F20" s="2"/>
      <c r="G20" s="2"/>
      <c r="H20" s="2"/>
      <c r="I20" s="2"/>
    </row>
    <row r="21" spans="1:9" ht="13.5" hidden="1" customHeight="1">
      <c r="A21" s="2"/>
      <c r="B21" s="2"/>
      <c r="C21" s="2"/>
      <c r="D21" s="2"/>
      <c r="E21" s="2"/>
      <c r="F21" s="2"/>
      <c r="G21" s="2"/>
      <c r="H21" s="2"/>
      <c r="I21" s="2"/>
    </row>
    <row r="22" spans="1:9" ht="13.5" hidden="1" customHeight="1">
      <c r="A22" s="2"/>
      <c r="B22" s="2"/>
      <c r="C22" s="2"/>
      <c r="D22" s="2"/>
      <c r="E22" s="2"/>
      <c r="F22" s="2"/>
      <c r="G22" s="2"/>
      <c r="H22" s="2"/>
      <c r="I22" s="2"/>
    </row>
    <row r="23" spans="1:9" ht="13.5" hidden="1" customHeight="1">
      <c r="A23" s="2"/>
      <c r="B23" s="2"/>
      <c r="C23" s="2"/>
      <c r="D23" s="2"/>
      <c r="E23" s="2"/>
      <c r="F23" s="2"/>
      <c r="G23" s="2"/>
      <c r="H23" s="2"/>
      <c r="I23" s="2"/>
    </row>
    <row r="24" spans="1:9" ht="13.5" hidden="1" customHeight="1">
      <c r="A24" s="2"/>
      <c r="B24" s="2"/>
      <c r="C24" s="2"/>
      <c r="D24" s="2"/>
      <c r="E24" s="2"/>
      <c r="F24" s="2"/>
      <c r="G24" s="2"/>
      <c r="H24" s="2"/>
      <c r="I24" s="2"/>
    </row>
    <row r="25" spans="1:9" ht="13.5" hidden="1" customHeight="1">
      <c r="A25" s="2"/>
      <c r="B25" s="2"/>
      <c r="C25" s="2"/>
      <c r="D25" s="2"/>
      <c r="E25" s="2"/>
      <c r="F25" s="2"/>
      <c r="G25" s="2"/>
      <c r="H25" s="2"/>
      <c r="I25" s="2"/>
    </row>
    <row r="26" spans="1:9" ht="13.5" hidden="1" customHeight="1">
      <c r="A26" s="2"/>
      <c r="B26" s="2"/>
      <c r="C26" s="2"/>
      <c r="D26" s="2"/>
      <c r="E26" s="2"/>
      <c r="F26" s="2"/>
      <c r="G26" s="2"/>
      <c r="H26" s="2"/>
      <c r="I26" s="2"/>
    </row>
    <row r="27" spans="1:9" ht="13.5" hidden="1" customHeight="1">
      <c r="A27" s="2"/>
      <c r="B27" s="2"/>
      <c r="C27" s="2"/>
      <c r="D27" s="2"/>
      <c r="E27" s="2"/>
      <c r="F27" s="2"/>
      <c r="G27" s="2"/>
      <c r="H27" s="2"/>
      <c r="I27" s="2"/>
    </row>
    <row r="28" spans="1:9" ht="13.5" hidden="1" customHeight="1">
      <c r="A28" s="2"/>
      <c r="B28" s="2"/>
      <c r="C28" s="2"/>
      <c r="D28" s="2"/>
      <c r="E28" s="2"/>
      <c r="F28" s="2"/>
      <c r="G28" s="2"/>
      <c r="H28" s="2"/>
      <c r="I28" s="2"/>
    </row>
    <row r="29" spans="1:9" ht="13.5" hidden="1" customHeight="1">
      <c r="A29" s="2"/>
      <c r="B29" s="2"/>
      <c r="C29" s="2"/>
      <c r="D29" s="2"/>
      <c r="E29" s="2"/>
      <c r="F29" s="2"/>
      <c r="G29" s="2"/>
      <c r="H29" s="2"/>
      <c r="I29" s="2"/>
    </row>
    <row r="30" spans="1:9" ht="13.5" hidden="1" customHeight="1">
      <c r="A30" s="2"/>
      <c r="B30" s="2"/>
      <c r="C30" s="2"/>
      <c r="D30" s="2"/>
      <c r="E30" s="2"/>
      <c r="F30" s="2"/>
      <c r="G30" s="2"/>
      <c r="H30" s="2"/>
      <c r="I30" s="2"/>
    </row>
    <row r="31" spans="1:9" ht="13.5" hidden="1" customHeight="1">
      <c r="A31" s="2"/>
      <c r="B31" s="2"/>
      <c r="C31" s="2"/>
      <c r="D31" s="2"/>
      <c r="E31" s="2"/>
      <c r="F31" s="2"/>
      <c r="G31" s="2"/>
      <c r="H31" s="2"/>
      <c r="I31" s="2"/>
    </row>
    <row r="32" spans="1:9" ht="13.5" hidden="1" customHeight="1">
      <c r="A32" s="2"/>
      <c r="B32" s="2"/>
      <c r="C32" s="2"/>
      <c r="D32" s="2"/>
      <c r="E32" s="2"/>
      <c r="F32" s="2"/>
      <c r="G32" s="2"/>
      <c r="H32" s="2"/>
      <c r="I32" s="2"/>
    </row>
    <row r="33" spans="1:9" ht="13.5" hidden="1" customHeight="1">
      <c r="A33" s="2"/>
      <c r="B33" s="2"/>
      <c r="C33" s="2"/>
      <c r="D33" s="2"/>
      <c r="E33" s="2"/>
      <c r="F33" s="2"/>
      <c r="G33" s="2"/>
      <c r="H33" s="2"/>
      <c r="I33" s="2"/>
    </row>
    <row r="34" spans="1:9" ht="13.5" hidden="1" customHeight="1">
      <c r="A34" s="2"/>
      <c r="B34" s="2"/>
      <c r="C34" s="2"/>
      <c r="D34" s="2"/>
      <c r="E34" s="2"/>
      <c r="F34" s="2"/>
      <c r="G34" s="2"/>
      <c r="H34" s="2"/>
      <c r="I34" s="2"/>
    </row>
    <row r="35" spans="1:9" ht="13.5" hidden="1" customHeight="1">
      <c r="A35" s="2"/>
      <c r="B35" s="2"/>
      <c r="C35" s="2"/>
      <c r="D35" s="2"/>
      <c r="E35" s="2"/>
      <c r="F35" s="2"/>
      <c r="G35" s="2"/>
      <c r="H35" s="2"/>
      <c r="I35" s="2"/>
    </row>
    <row r="36" spans="1:9" ht="13.5" hidden="1" customHeight="1">
      <c r="A36" s="2"/>
      <c r="B36" s="2"/>
      <c r="C36" s="2"/>
      <c r="D36" s="2"/>
      <c r="E36" s="2"/>
      <c r="F36" s="2"/>
      <c r="G36" s="2"/>
      <c r="H36" s="2"/>
      <c r="I36" s="2"/>
    </row>
    <row r="37" spans="1:9" ht="13.5" hidden="1" customHeight="1">
      <c r="A37" s="2"/>
      <c r="B37" s="2"/>
      <c r="C37" s="2"/>
      <c r="D37" s="2"/>
      <c r="E37" s="2"/>
      <c r="F37" s="2"/>
      <c r="G37" s="2"/>
      <c r="H37" s="2"/>
      <c r="I37" s="2"/>
    </row>
    <row r="38" spans="1:9" ht="13.5" hidden="1" customHeight="1">
      <c r="A38" s="2"/>
      <c r="B38" s="2"/>
      <c r="C38" s="2"/>
      <c r="D38" s="2"/>
      <c r="E38" s="2"/>
      <c r="F38" s="2"/>
      <c r="G38" s="2"/>
      <c r="H38" s="2"/>
      <c r="I38" s="2"/>
    </row>
    <row r="39" spans="1:9" ht="13.5" hidden="1" customHeight="1">
      <c r="A39" s="2"/>
      <c r="B39" s="2"/>
      <c r="C39" s="2"/>
      <c r="D39" s="2"/>
      <c r="E39" s="2"/>
      <c r="F39" s="2"/>
      <c r="G39" s="2"/>
      <c r="H39" s="2"/>
      <c r="I39" s="2"/>
    </row>
    <row r="40" spans="1:9" ht="13.5" hidden="1" customHeight="1">
      <c r="A40" s="2"/>
      <c r="B40" s="2"/>
      <c r="C40" s="2"/>
      <c r="D40" s="2"/>
      <c r="E40" s="2"/>
      <c r="F40" s="2"/>
      <c r="G40" s="2"/>
      <c r="H40" s="2"/>
      <c r="I40" s="2"/>
    </row>
    <row r="41" spans="1:9" ht="13.5" hidden="1" customHeight="1">
      <c r="A41" s="2"/>
      <c r="B41" s="2"/>
      <c r="C41" s="2"/>
      <c r="D41" s="2"/>
      <c r="E41" s="2"/>
      <c r="F41" s="2"/>
      <c r="G41" s="2"/>
      <c r="H41" s="2"/>
      <c r="I41" s="2"/>
    </row>
    <row r="42" spans="1:9" ht="13.5" hidden="1" customHeight="1">
      <c r="A42" s="2"/>
      <c r="B42" s="2"/>
      <c r="C42" s="2"/>
      <c r="D42" s="2"/>
      <c r="E42" s="2"/>
      <c r="F42" s="2"/>
      <c r="G42" s="2"/>
      <c r="H42" s="2"/>
      <c r="I42" s="2"/>
    </row>
    <row r="43" spans="1:9" ht="13.5" hidden="1" customHeight="1">
      <c r="A43" s="2"/>
      <c r="B43" s="2"/>
      <c r="C43" s="2"/>
      <c r="D43" s="2"/>
      <c r="E43" s="2"/>
      <c r="F43" s="2"/>
      <c r="G43" s="2"/>
      <c r="H43" s="2"/>
      <c r="I43" s="2"/>
    </row>
    <row r="44" spans="1:9" ht="13.5" hidden="1" customHeight="1">
      <c r="A44" s="2"/>
      <c r="B44" s="2"/>
      <c r="C44" s="2"/>
      <c r="D44" s="2"/>
      <c r="E44" s="2"/>
      <c r="F44" s="2"/>
      <c r="G44" s="2"/>
      <c r="H44" s="2"/>
      <c r="I44" s="2"/>
    </row>
    <row r="45" spans="1:9" ht="13.5" hidden="1" customHeight="1">
      <c r="A45" s="2"/>
      <c r="B45" s="2"/>
      <c r="C45" s="2"/>
      <c r="D45" s="2"/>
      <c r="E45" s="2"/>
      <c r="F45" s="2"/>
      <c r="G45" s="2"/>
      <c r="H45" s="2"/>
      <c r="I45" s="2"/>
    </row>
    <row r="46" spans="1:9" ht="13.5" hidden="1" customHeight="1">
      <c r="A46" s="2"/>
      <c r="B46" s="2"/>
      <c r="C46" s="2"/>
      <c r="D46" s="2"/>
      <c r="E46" s="2"/>
      <c r="F46" s="2"/>
      <c r="G46" s="2"/>
      <c r="H46" s="2"/>
      <c r="I46" s="2"/>
    </row>
    <row r="47" spans="1:9" ht="13.5" hidden="1" customHeight="1">
      <c r="A47" s="2"/>
      <c r="B47" s="2"/>
      <c r="C47" s="2"/>
      <c r="D47" s="2"/>
      <c r="E47" s="2"/>
      <c r="F47" s="2"/>
      <c r="G47" s="2"/>
      <c r="H47" s="2"/>
      <c r="I47" s="2"/>
    </row>
    <row r="48" spans="1:9" ht="13.5" hidden="1" customHeight="1">
      <c r="A48" s="2"/>
      <c r="B48" s="2"/>
      <c r="C48" s="2"/>
      <c r="D48" s="2"/>
      <c r="E48" s="2"/>
      <c r="F48" s="2"/>
      <c r="G48" s="2"/>
      <c r="H48" s="2"/>
      <c r="I48" s="2"/>
    </row>
    <row r="49" spans="1:9" ht="13.5" hidden="1" customHeight="1">
      <c r="A49" s="2"/>
      <c r="B49" s="2"/>
      <c r="C49" s="2"/>
      <c r="D49" s="2"/>
      <c r="E49" s="2"/>
      <c r="F49" s="2"/>
      <c r="G49" s="2"/>
      <c r="H49" s="2"/>
      <c r="I49" s="2"/>
    </row>
    <row r="50" spans="1:9" ht="13.5" hidden="1" customHeight="1">
      <c r="A50" s="2"/>
      <c r="B50" s="2"/>
      <c r="C50" s="2"/>
      <c r="D50" s="2"/>
      <c r="E50" s="2"/>
      <c r="F50" s="2"/>
      <c r="G50" s="2"/>
      <c r="H50" s="2"/>
      <c r="I50" s="2"/>
    </row>
    <row r="51" spans="1:9" ht="13.5" hidden="1" customHeight="1">
      <c r="A51" s="2"/>
      <c r="B51" s="2"/>
      <c r="C51" s="2"/>
      <c r="D51" s="2"/>
      <c r="E51" s="2"/>
      <c r="F51" s="2"/>
      <c r="G51" s="2"/>
      <c r="H51" s="2"/>
      <c r="I51" s="2"/>
    </row>
    <row r="52" spans="1:9" ht="13.5" hidden="1" customHeight="1">
      <c r="A52" s="2"/>
      <c r="B52" s="2"/>
      <c r="C52" s="2"/>
      <c r="D52" s="2"/>
      <c r="E52" s="2"/>
      <c r="F52" s="2"/>
      <c r="G52" s="2"/>
      <c r="H52" s="2"/>
      <c r="I52" s="2"/>
    </row>
    <row r="53" spans="1:9" ht="13.5" hidden="1" customHeight="1">
      <c r="A53" s="2"/>
      <c r="B53" s="2"/>
      <c r="C53" s="2"/>
      <c r="D53" s="2"/>
      <c r="E53" s="2"/>
      <c r="F53" s="2"/>
      <c r="G53" s="2"/>
      <c r="H53" s="2"/>
      <c r="I53" s="2"/>
    </row>
    <row r="54" spans="1:9" ht="13.5" hidden="1" customHeight="1">
      <c r="A54" s="2"/>
      <c r="B54" s="2"/>
      <c r="C54" s="2"/>
      <c r="D54" s="2"/>
      <c r="E54" s="2"/>
      <c r="F54" s="2"/>
      <c r="G54" s="2"/>
      <c r="H54" s="2"/>
      <c r="I54" s="2"/>
    </row>
    <row r="55" spans="1:9" ht="13.5" hidden="1" customHeight="1">
      <c r="A55" s="2"/>
      <c r="B55" s="2"/>
      <c r="C55" s="2"/>
      <c r="D55" s="2"/>
      <c r="E55" s="2"/>
      <c r="F55" s="2"/>
      <c r="G55" s="2"/>
      <c r="H55" s="2"/>
      <c r="I55" s="2"/>
    </row>
    <row r="56" spans="1:9" ht="13.5" hidden="1" customHeight="1"/>
    <row r="57" spans="1:9" ht="15.75" hidden="1" customHeight="1"/>
    <row r="58" spans="1:9" ht="15.75" hidden="1" customHeight="1"/>
    <row r="59" spans="1:9" ht="15.75" hidden="1" customHeight="1"/>
    <row r="60" spans="1:9" ht="15.75" hidden="1" customHeight="1"/>
    <row r="61" spans="1:9" ht="15.75" hidden="1" customHeight="1"/>
    <row r="62" spans="1:9" ht="15.75" hidden="1" customHeight="1"/>
    <row r="63" spans="1:9" ht="15.75" hidden="1" customHeight="1"/>
    <row r="64" spans="1:9" ht="15.75" hidden="1" customHeight="1"/>
    <row r="65" ht="15.75" hidden="1" customHeight="1"/>
    <row r="66" ht="15.75" hidden="1" customHeight="1"/>
    <row r="67" ht="15.75" hidden="1" customHeight="1"/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  <outlinePr summaryBelow="0" summaryRight="0"/>
  </sheetPr>
  <dimension ref="A1:Z1000"/>
  <sheetViews>
    <sheetView showGridLines="0" workbookViewId="0"/>
  </sheetViews>
  <sheetFormatPr defaultColWidth="14.42578125" defaultRowHeight="15" customHeight="1"/>
  <cols>
    <col min="1" max="1" width="37.85546875" customWidth="1"/>
    <col min="2" max="3" width="16.42578125" customWidth="1"/>
    <col min="4" max="4" width="5.42578125" customWidth="1"/>
    <col min="5" max="5" width="32.85546875" customWidth="1"/>
    <col min="6" max="6" width="16.42578125" customWidth="1"/>
    <col min="7" max="7" width="8" customWidth="1"/>
    <col min="8" max="8" width="8" hidden="1" customWidth="1"/>
    <col min="9" max="9" width="9.42578125" hidden="1" customWidth="1"/>
    <col min="10" max="26" width="17.28515625" customWidth="1"/>
  </cols>
  <sheetData>
    <row r="1" spans="1:26" ht="19.5" customHeight="1">
      <c r="A1" s="633" t="s">
        <v>259</v>
      </c>
      <c r="B1" s="1"/>
      <c r="C1" s="1"/>
      <c r="D1" s="401"/>
      <c r="E1" s="401"/>
      <c r="F1" s="1"/>
      <c r="G1" s="1"/>
      <c r="H1" s="1"/>
    </row>
    <row r="2" spans="1:26" ht="12.75" customHeight="1">
      <c r="A2" s="3"/>
      <c r="B2" s="3"/>
      <c r="C2" s="3"/>
      <c r="D2" s="3"/>
      <c r="E2" s="3"/>
      <c r="F2" s="3"/>
      <c r="G2" s="585"/>
      <c r="H2" s="2"/>
    </row>
    <row r="3" spans="1:26" ht="19.5" customHeight="1">
      <c r="A3" s="634" t="s">
        <v>260</v>
      </c>
      <c r="B3" s="635"/>
      <c r="C3" s="636"/>
      <c r="D3" s="18"/>
      <c r="E3" s="18"/>
      <c r="F3" s="18"/>
      <c r="G3" s="18"/>
      <c r="H3" s="18"/>
      <c r="I3" s="18"/>
    </row>
    <row r="4" spans="1:26" ht="12" customHeight="1">
      <c r="A4" s="18"/>
      <c r="B4" s="18"/>
      <c r="C4" s="637"/>
      <c r="D4" s="18"/>
      <c r="E4" s="18"/>
      <c r="F4" s="18"/>
      <c r="G4" s="18"/>
      <c r="H4" s="18"/>
      <c r="I4" s="18"/>
    </row>
    <row r="5" spans="1:26" ht="15" customHeight="1">
      <c r="A5" s="549"/>
      <c r="B5" s="708" t="s">
        <v>261</v>
      </c>
      <c r="C5" s="706"/>
      <c r="D5" s="549"/>
      <c r="E5" s="549"/>
      <c r="F5" s="549"/>
      <c r="G5" s="549"/>
      <c r="H5" s="549"/>
      <c r="I5" s="549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5"/>
      <c r="U5" s="415"/>
      <c r="V5" s="415"/>
      <c r="W5" s="415"/>
      <c r="X5" s="415"/>
      <c r="Y5" s="415"/>
      <c r="Z5" s="415"/>
    </row>
    <row r="6" spans="1:26" ht="15" customHeight="1">
      <c r="A6" s="638" t="s">
        <v>262</v>
      </c>
      <c r="B6" s="639" t="s">
        <v>263</v>
      </c>
      <c r="C6" s="640" t="str">
        <f>Market!F3</f>
        <v>Years to Absorb</v>
      </c>
      <c r="D6" s="549"/>
      <c r="E6" s="641" t="s">
        <v>264</v>
      </c>
      <c r="F6" s="642"/>
      <c r="G6" s="549"/>
      <c r="H6" s="549"/>
      <c r="I6" s="549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5"/>
      <c r="U6" s="415"/>
      <c r="V6" s="415"/>
      <c r="W6" s="415"/>
      <c r="X6" s="415"/>
      <c r="Y6" s="415"/>
      <c r="Z6" s="415"/>
    </row>
    <row r="7" spans="1:26" ht="15" customHeight="1">
      <c r="A7" s="643"/>
      <c r="B7" s="644"/>
      <c r="C7" s="645"/>
      <c r="D7" s="549"/>
      <c r="E7" s="646" t="s">
        <v>265</v>
      </c>
      <c r="F7" s="602">
        <f>Value!F45</f>
        <v>146395000</v>
      </c>
      <c r="G7" s="549"/>
      <c r="H7" s="549"/>
      <c r="I7" s="549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5"/>
      <c r="U7" s="415"/>
      <c r="V7" s="415"/>
      <c r="W7" s="415"/>
      <c r="X7" s="415"/>
      <c r="Y7" s="415"/>
      <c r="Z7" s="415"/>
    </row>
    <row r="8" spans="1:26" ht="15" customHeight="1">
      <c r="A8" s="647" t="s">
        <v>266</v>
      </c>
      <c r="B8" s="648" t="s">
        <v>78</v>
      </c>
      <c r="C8" s="649"/>
      <c r="D8" s="549"/>
      <c r="E8" s="646" t="s">
        <v>267</v>
      </c>
      <c r="F8" s="629">
        <f>-Costs!E43</f>
        <v>-114041000</v>
      </c>
      <c r="G8" s="549"/>
      <c r="H8" s="549"/>
      <c r="I8" s="549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5"/>
      <c r="U8" s="415"/>
      <c r="V8" s="415"/>
      <c r="W8" s="415"/>
      <c r="X8" s="415"/>
      <c r="Y8" s="415"/>
      <c r="Z8" s="415"/>
    </row>
    <row r="9" spans="1:26" ht="15" customHeight="1">
      <c r="A9" s="416" t="s">
        <v>170</v>
      </c>
      <c r="B9" s="600">
        <f>Costs!B5</f>
        <v>0</v>
      </c>
      <c r="C9" s="650">
        <f>Market!F5</f>
        <v>0</v>
      </c>
      <c r="D9" s="549"/>
      <c r="E9" s="646" t="s">
        <v>268</v>
      </c>
      <c r="F9" s="629">
        <f>-Value!H42</f>
        <v>-7500000</v>
      </c>
      <c r="G9" s="549"/>
      <c r="H9" s="549"/>
      <c r="I9" s="549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5"/>
      <c r="U9" s="415"/>
      <c r="V9" s="415"/>
      <c r="W9" s="415"/>
      <c r="X9" s="415"/>
      <c r="Y9" s="415"/>
      <c r="Z9" s="415"/>
    </row>
    <row r="10" spans="1:26" ht="15" customHeight="1">
      <c r="A10" s="416" t="s">
        <v>172</v>
      </c>
      <c r="B10" s="600">
        <f>Costs!B7</f>
        <v>0</v>
      </c>
      <c r="C10" s="650">
        <f>Market!F7</f>
        <v>0</v>
      </c>
      <c r="D10" s="549"/>
      <c r="E10" s="646" t="s">
        <v>269</v>
      </c>
      <c r="F10" s="602">
        <f>Value!J45</f>
        <v>-8381539.4853593595</v>
      </c>
      <c r="G10" s="549"/>
      <c r="H10" s="549"/>
      <c r="I10" s="549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5"/>
      <c r="U10" s="415"/>
      <c r="V10" s="415"/>
      <c r="W10" s="415"/>
      <c r="X10" s="415"/>
      <c r="Y10" s="415"/>
      <c r="Z10" s="415"/>
    </row>
    <row r="11" spans="1:26" ht="15" customHeight="1">
      <c r="A11" s="651" t="s">
        <v>270</v>
      </c>
      <c r="B11" s="652">
        <f>SUM(B9:B10)</f>
        <v>0</v>
      </c>
      <c r="C11" s="653"/>
      <c r="D11" s="549"/>
      <c r="E11" s="646" t="s">
        <v>271</v>
      </c>
      <c r="F11" s="602">
        <f>Costs!I43-Costs!I42</f>
        <v>1066000</v>
      </c>
      <c r="G11" s="549"/>
      <c r="H11" s="549"/>
      <c r="I11" s="549"/>
      <c r="J11" s="415"/>
      <c r="K11" s="415"/>
      <c r="L11" s="415"/>
      <c r="M11" s="415"/>
      <c r="N11" s="415"/>
      <c r="O11" s="415"/>
      <c r="P11" s="415"/>
      <c r="Q11" s="415"/>
      <c r="R11" s="415"/>
      <c r="S11" s="415"/>
      <c r="T11" s="415"/>
      <c r="U11" s="415"/>
      <c r="V11" s="415"/>
      <c r="W11" s="415"/>
      <c r="X11" s="415"/>
      <c r="Y11" s="415"/>
      <c r="Z11" s="415"/>
    </row>
    <row r="12" spans="1:26" ht="15" customHeight="1">
      <c r="A12" s="643"/>
      <c r="B12" s="654"/>
      <c r="C12" s="655"/>
      <c r="D12" s="549"/>
      <c r="E12" s="656" t="s">
        <v>272</v>
      </c>
      <c r="F12" s="657">
        <f>SUM(F7:F11)</f>
        <v>17538460.51464064</v>
      </c>
      <c r="G12" s="549"/>
      <c r="H12" s="549"/>
      <c r="I12" s="549"/>
      <c r="J12" s="415"/>
      <c r="K12" s="415"/>
      <c r="L12" s="415"/>
      <c r="M12" s="415"/>
      <c r="N12" s="415"/>
      <c r="O12" s="415"/>
      <c r="P12" s="415"/>
      <c r="Q12" s="415"/>
      <c r="R12" s="415"/>
      <c r="S12" s="415"/>
      <c r="T12" s="415"/>
      <c r="U12" s="415"/>
      <c r="V12" s="415"/>
      <c r="W12" s="415"/>
      <c r="X12" s="415"/>
      <c r="Y12" s="415"/>
      <c r="Z12" s="415"/>
    </row>
    <row r="13" spans="1:26" ht="15" customHeight="1">
      <c r="A13" s="647" t="s">
        <v>273</v>
      </c>
      <c r="B13" s="658" t="s">
        <v>78</v>
      </c>
      <c r="C13" s="655"/>
      <c r="D13" s="549"/>
      <c r="E13" s="659" t="s">
        <v>274</v>
      </c>
      <c r="F13" s="660">
        <f>Value!L46</f>
        <v>0.14557759298311385</v>
      </c>
      <c r="G13" s="549"/>
      <c r="H13" s="549"/>
      <c r="I13" s="549"/>
      <c r="J13" s="415"/>
      <c r="K13" s="415"/>
      <c r="L13" s="415"/>
      <c r="M13" s="415"/>
      <c r="N13" s="415"/>
      <c r="O13" s="415"/>
      <c r="P13" s="415"/>
      <c r="Q13" s="415"/>
      <c r="R13" s="415"/>
      <c r="S13" s="415"/>
      <c r="T13" s="415"/>
      <c r="U13" s="415"/>
      <c r="V13" s="415"/>
      <c r="W13" s="415"/>
      <c r="X13" s="415"/>
      <c r="Y13" s="415"/>
      <c r="Z13" s="415"/>
    </row>
    <row r="14" spans="1:26" ht="15" customHeight="1">
      <c r="A14" s="416" t="s">
        <v>171</v>
      </c>
      <c r="B14" s="600">
        <f>Costs!B6</f>
        <v>220</v>
      </c>
      <c r="C14" s="650">
        <f>Market!F6</f>
        <v>2.9333333333333331</v>
      </c>
      <c r="D14" s="549"/>
      <c r="E14" s="549"/>
      <c r="F14" s="549"/>
      <c r="G14" s="549"/>
      <c r="H14" s="549"/>
      <c r="I14" s="549"/>
      <c r="J14" s="415"/>
      <c r="K14" s="415"/>
      <c r="L14" s="415"/>
      <c r="M14" s="415"/>
      <c r="N14" s="415"/>
      <c r="O14" s="415"/>
      <c r="P14" s="415"/>
      <c r="Q14" s="415"/>
      <c r="R14" s="415"/>
      <c r="S14" s="415"/>
      <c r="T14" s="415"/>
      <c r="U14" s="415"/>
      <c r="V14" s="415"/>
      <c r="W14" s="415"/>
      <c r="X14" s="415"/>
      <c r="Y14" s="415"/>
      <c r="Z14" s="415"/>
    </row>
    <row r="15" spans="1:26" ht="15" customHeight="1">
      <c r="A15" s="416" t="s">
        <v>173</v>
      </c>
      <c r="B15" s="600">
        <f>Costs!B8</f>
        <v>0</v>
      </c>
      <c r="C15" s="650">
        <f>Market!F8</f>
        <v>0</v>
      </c>
      <c r="D15" s="549"/>
      <c r="E15" s="641" t="s">
        <v>275</v>
      </c>
      <c r="F15" s="661"/>
      <c r="G15" s="549"/>
      <c r="H15" s="549"/>
      <c r="I15" s="549"/>
      <c r="J15" s="415"/>
      <c r="K15" s="415"/>
      <c r="L15" s="415"/>
      <c r="M15" s="415"/>
      <c r="N15" s="415"/>
      <c r="O15" s="415"/>
      <c r="P15" s="415"/>
      <c r="Q15" s="415"/>
      <c r="R15" s="415"/>
      <c r="S15" s="415"/>
      <c r="T15" s="415"/>
      <c r="U15" s="415"/>
      <c r="V15" s="415"/>
      <c r="W15" s="415"/>
      <c r="X15" s="415"/>
      <c r="Y15" s="415"/>
      <c r="Z15" s="415"/>
    </row>
    <row r="16" spans="1:26" ht="15" customHeight="1">
      <c r="A16" s="416" t="s">
        <v>19</v>
      </c>
      <c r="B16" s="600">
        <f>Costs!B9</f>
        <v>48</v>
      </c>
      <c r="C16" s="650">
        <f>Market!F9</f>
        <v>1.5867768595041323</v>
      </c>
      <c r="D16" s="549"/>
      <c r="E16" s="646" t="s">
        <v>276</v>
      </c>
      <c r="F16" s="602">
        <f>'City Revenue'!H41</f>
        <v>8575150</v>
      </c>
      <c r="G16" s="549"/>
      <c r="H16" s="549"/>
      <c r="I16" s="549"/>
      <c r="J16" s="415"/>
      <c r="K16" s="415"/>
      <c r="L16" s="415"/>
      <c r="M16" s="415"/>
      <c r="N16" s="415"/>
      <c r="O16" s="415"/>
      <c r="P16" s="415"/>
      <c r="Q16" s="415"/>
      <c r="R16" s="415"/>
      <c r="S16" s="415"/>
      <c r="T16" s="415"/>
      <c r="U16" s="415"/>
      <c r="V16" s="415"/>
      <c r="W16" s="415"/>
      <c r="X16" s="415"/>
      <c r="Y16" s="415"/>
      <c r="Z16" s="415"/>
    </row>
    <row r="17" spans="1:26" ht="15" customHeight="1">
      <c r="A17" s="651" t="s">
        <v>277</v>
      </c>
      <c r="B17" s="652">
        <f>B14+B15+B16</f>
        <v>268</v>
      </c>
      <c r="C17" s="653"/>
      <c r="D17" s="549"/>
      <c r="E17" s="646" t="s">
        <v>253</v>
      </c>
      <c r="F17" s="602">
        <f>'City Revenue'!H42</f>
        <v>7500000</v>
      </c>
      <c r="G17" s="549"/>
      <c r="H17" s="549"/>
      <c r="I17" s="549"/>
      <c r="J17" s="415"/>
      <c r="K17" s="415"/>
      <c r="L17" s="415"/>
      <c r="M17" s="415"/>
      <c r="N17" s="415"/>
      <c r="O17" s="415"/>
      <c r="P17" s="415"/>
      <c r="Q17" s="415"/>
      <c r="R17" s="415"/>
      <c r="S17" s="415"/>
      <c r="T17" s="415"/>
      <c r="U17" s="415"/>
      <c r="V17" s="415"/>
      <c r="W17" s="415"/>
      <c r="X17" s="415"/>
      <c r="Y17" s="415"/>
      <c r="Z17" s="415"/>
    </row>
    <row r="18" spans="1:26" ht="15" customHeight="1">
      <c r="A18" s="643"/>
      <c r="B18" s="654"/>
      <c r="C18" s="655"/>
      <c r="D18" s="549"/>
      <c r="E18" s="646" t="s">
        <v>278</v>
      </c>
      <c r="F18" s="629">
        <f>'City Revenue'!H44</f>
        <v>-10000000</v>
      </c>
      <c r="G18" s="549"/>
      <c r="H18" s="549"/>
      <c r="I18" s="549"/>
      <c r="J18" s="415"/>
      <c r="K18" s="415"/>
      <c r="L18" s="415"/>
      <c r="M18" s="415"/>
      <c r="N18" s="415"/>
      <c r="O18" s="415"/>
      <c r="P18" s="415"/>
      <c r="Q18" s="415"/>
      <c r="R18" s="415"/>
      <c r="S18" s="415"/>
      <c r="T18" s="415"/>
      <c r="U18" s="415"/>
      <c r="V18" s="415"/>
      <c r="W18" s="415"/>
      <c r="X18" s="415"/>
      <c r="Y18" s="415"/>
      <c r="Z18" s="415"/>
    </row>
    <row r="19" spans="1:26" ht="15" customHeight="1">
      <c r="A19" s="647" t="s">
        <v>279</v>
      </c>
      <c r="B19" s="658" t="s">
        <v>280</v>
      </c>
      <c r="C19" s="655"/>
      <c r="D19" s="549"/>
      <c r="E19" s="646" t="s">
        <v>281</v>
      </c>
      <c r="F19" s="602">
        <f>'City Revenue'!H45</f>
        <v>-1066000</v>
      </c>
      <c r="G19" s="549"/>
      <c r="H19" s="549"/>
      <c r="I19" s="549"/>
      <c r="J19" s="415"/>
      <c r="K19" s="415"/>
      <c r="L19" s="415"/>
      <c r="M19" s="415"/>
      <c r="N19" s="415"/>
      <c r="O19" s="415"/>
      <c r="P19" s="415"/>
      <c r="Q19" s="415"/>
      <c r="R19" s="415"/>
      <c r="S19" s="415"/>
      <c r="T19" s="415"/>
      <c r="U19" s="415"/>
      <c r="V19" s="415"/>
      <c r="W19" s="415"/>
      <c r="X19" s="415"/>
      <c r="Y19" s="415"/>
      <c r="Z19" s="415"/>
    </row>
    <row r="20" spans="1:26" ht="15" customHeight="1">
      <c r="A20" s="416" t="s">
        <v>174</v>
      </c>
      <c r="B20" s="600">
        <f>'Use Allocation'!D14/500</f>
        <v>120</v>
      </c>
      <c r="C20" s="662" t="s">
        <v>214</v>
      </c>
      <c r="D20" s="549"/>
      <c r="E20" s="651" t="s">
        <v>257</v>
      </c>
      <c r="F20" s="663">
        <f>'City Revenue'!H46</f>
        <v>5009150</v>
      </c>
      <c r="G20" s="549"/>
      <c r="H20" s="549"/>
      <c r="I20" s="549"/>
      <c r="J20" s="415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415"/>
      <c r="Z20" s="415"/>
    </row>
    <row r="21" spans="1:26" ht="15" customHeight="1">
      <c r="A21" s="416" t="s">
        <v>175</v>
      </c>
      <c r="B21" s="600">
        <f>Costs!B11</f>
        <v>120</v>
      </c>
      <c r="C21" s="662" t="s">
        <v>214</v>
      </c>
      <c r="D21" s="549"/>
      <c r="E21" s="549"/>
      <c r="F21" s="549"/>
      <c r="G21" s="549"/>
      <c r="H21" s="549"/>
      <c r="I21" s="549"/>
      <c r="J21" s="415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415"/>
      <c r="Z21" s="415"/>
    </row>
    <row r="22" spans="1:26" ht="15" customHeight="1">
      <c r="A22" s="651" t="s">
        <v>282</v>
      </c>
      <c r="B22" s="652">
        <f>B20+B21</f>
        <v>240</v>
      </c>
      <c r="C22" s="664" t="s">
        <v>214</v>
      </c>
      <c r="D22" s="549"/>
      <c r="E22" s="641" t="s">
        <v>283</v>
      </c>
      <c r="F22" s="661"/>
      <c r="G22" s="549"/>
      <c r="H22" s="549"/>
      <c r="I22" s="549"/>
      <c r="J22" s="415"/>
      <c r="K22" s="415"/>
      <c r="L22" s="415"/>
      <c r="M22" s="415"/>
      <c r="N22" s="415"/>
      <c r="O22" s="415"/>
      <c r="P22" s="415"/>
      <c r="Q22" s="415"/>
      <c r="R22" s="415"/>
      <c r="S22" s="415"/>
      <c r="T22" s="415"/>
      <c r="U22" s="415"/>
      <c r="V22" s="415"/>
      <c r="W22" s="415"/>
      <c r="X22" s="415"/>
      <c r="Y22" s="415"/>
      <c r="Z22" s="415"/>
    </row>
    <row r="23" spans="1:26" ht="15" customHeight="1">
      <c r="A23" s="665"/>
      <c r="B23" s="666"/>
      <c r="C23" s="645"/>
      <c r="D23" s="549"/>
      <c r="E23" s="667" t="s">
        <v>284</v>
      </c>
      <c r="F23" s="668">
        <f>Value!L34*(-1)</f>
        <v>0</v>
      </c>
      <c r="G23" s="549"/>
      <c r="H23" s="549"/>
      <c r="I23" s="549"/>
      <c r="J23" s="415"/>
      <c r="K23" s="415"/>
      <c r="L23" s="415"/>
      <c r="M23" s="415"/>
      <c r="N23" s="415"/>
      <c r="O23" s="415"/>
      <c r="P23" s="415"/>
      <c r="Q23" s="415"/>
      <c r="R23" s="415"/>
      <c r="S23" s="415"/>
      <c r="T23" s="415"/>
      <c r="U23" s="415"/>
      <c r="V23" s="415"/>
      <c r="W23" s="415"/>
      <c r="X23" s="415"/>
      <c r="Y23" s="415"/>
      <c r="Z23" s="415"/>
    </row>
    <row r="24" spans="1:26" ht="15" customHeight="1">
      <c r="A24" s="647" t="s">
        <v>21</v>
      </c>
      <c r="B24" s="658" t="s">
        <v>87</v>
      </c>
      <c r="C24" s="669"/>
      <c r="D24" s="549"/>
      <c r="E24" s="549"/>
      <c r="F24" s="549"/>
      <c r="G24" s="549"/>
      <c r="H24" s="549"/>
      <c r="I24" s="549"/>
      <c r="J24" s="415"/>
      <c r="K24" s="415"/>
      <c r="L24" s="415"/>
      <c r="M24" s="415"/>
      <c r="N24" s="415"/>
      <c r="O24" s="415"/>
      <c r="P24" s="415"/>
      <c r="Q24" s="415"/>
      <c r="R24" s="415"/>
      <c r="S24" s="415"/>
      <c r="T24" s="415"/>
      <c r="U24" s="415"/>
      <c r="V24" s="415"/>
      <c r="W24" s="415"/>
      <c r="X24" s="415"/>
      <c r="Y24" s="415"/>
      <c r="Z24" s="415"/>
    </row>
    <row r="25" spans="1:26" ht="15" customHeight="1">
      <c r="A25" s="416" t="s">
        <v>177</v>
      </c>
      <c r="B25" s="600">
        <f>Costs!B13</f>
        <v>0</v>
      </c>
      <c r="C25" s="670" t="s">
        <v>215</v>
      </c>
      <c r="D25" s="549"/>
      <c r="E25" s="641" t="s">
        <v>285</v>
      </c>
      <c r="F25" s="661"/>
      <c r="G25" s="549"/>
      <c r="H25" s="549"/>
      <c r="I25" s="549"/>
      <c r="J25" s="415"/>
      <c r="K25" s="415"/>
      <c r="L25" s="415"/>
      <c r="M25" s="415"/>
      <c r="N25" s="415"/>
      <c r="O25" s="415"/>
      <c r="P25" s="415"/>
      <c r="Q25" s="415"/>
      <c r="R25" s="415"/>
      <c r="S25" s="415"/>
      <c r="T25" s="415"/>
      <c r="U25" s="415"/>
      <c r="V25" s="415"/>
      <c r="W25" s="415"/>
      <c r="X25" s="415"/>
      <c r="Y25" s="415"/>
      <c r="Z25" s="415"/>
    </row>
    <row r="26" spans="1:26" ht="15" customHeight="1">
      <c r="A26" s="416" t="s">
        <v>178</v>
      </c>
      <c r="B26" s="600">
        <f>Costs!B14</f>
        <v>16500</v>
      </c>
      <c r="C26" s="670" t="s">
        <v>215</v>
      </c>
      <c r="D26" s="549"/>
      <c r="E26" s="646" t="s">
        <v>286</v>
      </c>
      <c r="F26" s="671">
        <f>SUM(Jobs!E5:E9)</f>
        <v>1370</v>
      </c>
      <c r="G26" s="549"/>
      <c r="H26" s="549"/>
      <c r="I26" s="549"/>
      <c r="J26" s="415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  <c r="V26" s="415"/>
      <c r="W26" s="415"/>
      <c r="X26" s="415"/>
      <c r="Y26" s="415"/>
      <c r="Z26" s="415"/>
    </row>
    <row r="27" spans="1:26" ht="15" customHeight="1">
      <c r="A27" s="416" t="s">
        <v>179</v>
      </c>
      <c r="B27" s="600">
        <f>Costs!B15</f>
        <v>42000</v>
      </c>
      <c r="C27" s="670" t="s">
        <v>215</v>
      </c>
      <c r="D27" s="549"/>
      <c r="E27" s="646" t="s">
        <v>287</v>
      </c>
      <c r="F27" s="671">
        <f>SUM(Jobs!E11:E16)</f>
        <v>380</v>
      </c>
      <c r="G27" s="549"/>
      <c r="H27" s="549"/>
      <c r="I27" s="549"/>
      <c r="J27" s="415"/>
      <c r="K27" s="415"/>
      <c r="L27" s="415"/>
      <c r="M27" s="415"/>
      <c r="N27" s="415"/>
      <c r="O27" s="415"/>
      <c r="P27" s="415"/>
      <c r="Q27" s="415"/>
      <c r="R27" s="415"/>
      <c r="S27" s="415"/>
      <c r="T27" s="415"/>
      <c r="U27" s="415"/>
      <c r="V27" s="415"/>
      <c r="W27" s="415"/>
      <c r="X27" s="415"/>
      <c r="Y27" s="415"/>
      <c r="Z27" s="415"/>
    </row>
    <row r="28" spans="1:26" ht="15" customHeight="1">
      <c r="A28" s="416" t="s">
        <v>180</v>
      </c>
      <c r="B28" s="600">
        <f>Costs!B16</f>
        <v>180000</v>
      </c>
      <c r="C28" s="650">
        <f>Market!F16</f>
        <v>3</v>
      </c>
      <c r="D28" s="549"/>
      <c r="E28" s="646" t="s">
        <v>288</v>
      </c>
      <c r="F28" s="671">
        <f>SUM(Jobs!E18:E20)</f>
        <v>52</v>
      </c>
      <c r="G28" s="549"/>
      <c r="H28" s="549"/>
      <c r="I28" s="549"/>
      <c r="J28" s="415"/>
      <c r="K28" s="415"/>
      <c r="L28" s="415"/>
      <c r="M28" s="415"/>
      <c r="N28" s="415"/>
      <c r="O28" s="415"/>
      <c r="P28" s="415"/>
      <c r="Q28" s="415"/>
      <c r="R28" s="415"/>
      <c r="S28" s="415"/>
      <c r="T28" s="415"/>
      <c r="U28" s="415"/>
      <c r="V28" s="415"/>
      <c r="W28" s="415"/>
      <c r="X28" s="415"/>
      <c r="Y28" s="415"/>
      <c r="Z28" s="415"/>
    </row>
    <row r="29" spans="1:26" ht="15" customHeight="1">
      <c r="A29" s="416" t="s">
        <v>25</v>
      </c>
      <c r="B29" s="600">
        <f>Costs!B17</f>
        <v>240000</v>
      </c>
      <c r="C29" s="650">
        <f>Market!F17</f>
        <v>3.4782608695652173</v>
      </c>
      <c r="D29" s="549"/>
      <c r="E29" s="651" t="s">
        <v>200</v>
      </c>
      <c r="F29" s="672">
        <f>SUM(F26:F28)</f>
        <v>1802</v>
      </c>
      <c r="G29" s="549"/>
      <c r="H29" s="549"/>
      <c r="I29" s="549"/>
      <c r="J29" s="415"/>
      <c r="K29" s="415"/>
      <c r="L29" s="415"/>
      <c r="M29" s="415"/>
      <c r="N29" s="415"/>
      <c r="O29" s="415"/>
      <c r="P29" s="415"/>
      <c r="Q29" s="415"/>
      <c r="R29" s="415"/>
      <c r="S29" s="415"/>
      <c r="T29" s="415"/>
      <c r="U29" s="415"/>
      <c r="V29" s="415"/>
      <c r="W29" s="415"/>
      <c r="X29" s="415"/>
      <c r="Y29" s="415"/>
      <c r="Z29" s="415"/>
    </row>
    <row r="30" spans="1:26" ht="15" customHeight="1">
      <c r="A30" s="651" t="s">
        <v>289</v>
      </c>
      <c r="B30" s="652">
        <f>SUM(B25:B29)</f>
        <v>478500</v>
      </c>
      <c r="C30" s="653"/>
      <c r="D30" s="549"/>
      <c r="E30" s="549"/>
      <c r="F30" s="549"/>
      <c r="G30" s="549"/>
      <c r="H30" s="549"/>
      <c r="I30" s="549"/>
      <c r="J30" s="415"/>
      <c r="K30" s="415"/>
      <c r="L30" s="415"/>
      <c r="M30" s="415"/>
      <c r="N30" s="415"/>
      <c r="O30" s="415"/>
      <c r="P30" s="415"/>
      <c r="Q30" s="415"/>
      <c r="R30" s="415"/>
      <c r="S30" s="415"/>
      <c r="T30" s="415"/>
      <c r="U30" s="415"/>
      <c r="V30" s="415"/>
      <c r="W30" s="415"/>
      <c r="X30" s="415"/>
      <c r="Y30" s="415"/>
      <c r="Z30" s="415"/>
    </row>
    <row r="31" spans="1:26" ht="15" customHeight="1">
      <c r="A31" s="673"/>
      <c r="B31" s="674"/>
      <c r="C31" s="675"/>
      <c r="D31" s="549"/>
      <c r="E31" s="641" t="s">
        <v>290</v>
      </c>
      <c r="F31" s="661"/>
      <c r="G31" s="549"/>
      <c r="H31" s="549"/>
      <c r="I31" s="549"/>
      <c r="J31" s="415"/>
      <c r="K31" s="415"/>
      <c r="L31" s="415"/>
      <c r="M31" s="415"/>
      <c r="N31" s="415"/>
      <c r="O31" s="415"/>
      <c r="P31" s="415"/>
      <c r="Q31" s="415"/>
      <c r="R31" s="415"/>
      <c r="S31" s="415"/>
      <c r="T31" s="415"/>
      <c r="U31" s="415"/>
      <c r="V31" s="415"/>
      <c r="W31" s="415"/>
      <c r="X31" s="415"/>
      <c r="Y31" s="415"/>
      <c r="Z31" s="415"/>
    </row>
    <row r="32" spans="1:26" ht="15" customHeight="1">
      <c r="A32" s="647" t="s">
        <v>26</v>
      </c>
      <c r="B32" s="658" t="s">
        <v>87</v>
      </c>
      <c r="C32" s="669"/>
      <c r="D32" s="549"/>
      <c r="E32" s="646" t="s">
        <v>291</v>
      </c>
      <c r="F32" s="676">
        <f>IFERROR(B17/(B11+B17),"N/A")</f>
        <v>1</v>
      </c>
      <c r="G32" s="549"/>
      <c r="H32" s="549"/>
      <c r="I32" s="549"/>
      <c r="J32" s="415"/>
      <c r="K32" s="415"/>
      <c r="L32" s="415"/>
      <c r="M32" s="415"/>
      <c r="N32" s="415"/>
      <c r="O32" s="415"/>
      <c r="P32" s="415"/>
      <c r="Q32" s="415"/>
      <c r="R32" s="415"/>
      <c r="S32" s="415"/>
      <c r="T32" s="415"/>
      <c r="U32" s="415"/>
      <c r="V32" s="415"/>
      <c r="W32" s="415"/>
      <c r="X32" s="415"/>
      <c r="Y32" s="415"/>
      <c r="Z32" s="415"/>
    </row>
    <row r="33" spans="1:26" ht="15" customHeight="1">
      <c r="A33" s="416" t="s">
        <v>181</v>
      </c>
      <c r="B33" s="600">
        <f>Costs!B19</f>
        <v>0</v>
      </c>
      <c r="C33" s="669" t="str">
        <f>Market!F19</f>
        <v xml:space="preserve">in Neigh. Ret.  </v>
      </c>
      <c r="D33" s="549"/>
      <c r="E33" s="677" t="s">
        <v>292</v>
      </c>
      <c r="F33" s="678">
        <f>IFERROR(1-F32,"N/A")</f>
        <v>0</v>
      </c>
      <c r="G33" s="549"/>
      <c r="H33" s="549"/>
      <c r="I33" s="549"/>
      <c r="J33" s="415"/>
      <c r="K33" s="415"/>
      <c r="L33" s="415"/>
      <c r="M33" s="415"/>
      <c r="N33" s="415"/>
      <c r="O33" s="415"/>
      <c r="P33" s="415"/>
      <c r="Q33" s="415"/>
      <c r="R33" s="415"/>
      <c r="S33" s="415"/>
      <c r="T33" s="415"/>
      <c r="U33" s="415"/>
      <c r="V33" s="415"/>
      <c r="W33" s="415"/>
      <c r="X33" s="415"/>
      <c r="Y33" s="415"/>
      <c r="Z33" s="415"/>
    </row>
    <row r="34" spans="1:26" ht="15" customHeight="1">
      <c r="A34" s="416" t="s">
        <v>182</v>
      </c>
      <c r="B34" s="600">
        <f>Costs!B20</f>
        <v>12000</v>
      </c>
      <c r="C34" s="669" t="str">
        <f>Market!F20</f>
        <v xml:space="preserve">in Neigh. Ret.  </v>
      </c>
      <c r="D34" s="549"/>
      <c r="E34" s="549"/>
      <c r="F34" s="549"/>
      <c r="G34" s="549"/>
      <c r="H34" s="549"/>
      <c r="I34" s="549"/>
      <c r="J34" s="415"/>
      <c r="K34" s="415"/>
      <c r="L34" s="415"/>
      <c r="M34" s="415"/>
      <c r="N34" s="415"/>
      <c r="O34" s="415"/>
      <c r="P34" s="415"/>
      <c r="Q34" s="415"/>
      <c r="R34" s="415"/>
      <c r="S34" s="415"/>
      <c r="T34" s="415"/>
      <c r="U34" s="415"/>
      <c r="V34" s="415"/>
      <c r="W34" s="415"/>
      <c r="X34" s="415"/>
      <c r="Y34" s="415"/>
      <c r="Z34" s="415"/>
    </row>
    <row r="35" spans="1:26" ht="15" customHeight="1">
      <c r="A35" s="416" t="s">
        <v>183</v>
      </c>
      <c r="B35" s="600">
        <f>Costs!B21</f>
        <v>18000</v>
      </c>
      <c r="C35" s="669" t="str">
        <f>Market!F21</f>
        <v xml:space="preserve">in Neigh. Ret.  </v>
      </c>
      <c r="D35" s="549"/>
      <c r="E35" s="641" t="s">
        <v>34</v>
      </c>
      <c r="F35" s="679" t="s">
        <v>293</v>
      </c>
      <c r="G35" s="549"/>
      <c r="H35" s="549"/>
      <c r="I35" s="549"/>
      <c r="J35" s="415"/>
      <c r="K35" s="415"/>
      <c r="L35" s="415"/>
      <c r="M35" s="415"/>
      <c r="N35" s="415"/>
      <c r="O35" s="415"/>
      <c r="P35" s="415"/>
      <c r="Q35" s="415"/>
      <c r="R35" s="415"/>
      <c r="S35" s="415"/>
      <c r="T35" s="415"/>
      <c r="U35" s="415"/>
      <c r="V35" s="415"/>
      <c r="W35" s="415"/>
      <c r="X35" s="415"/>
      <c r="Y35" s="415"/>
      <c r="Z35" s="415"/>
    </row>
    <row r="36" spans="1:26" ht="15" customHeight="1">
      <c r="A36" s="416" t="s">
        <v>27</v>
      </c>
      <c r="B36" s="600">
        <f>Costs!B22</f>
        <v>25000</v>
      </c>
      <c r="C36" s="650">
        <f>Market!F22</f>
        <v>3.1428571428571428</v>
      </c>
      <c r="D36" s="549"/>
      <c r="E36" s="646" t="s">
        <v>294</v>
      </c>
      <c r="F36" s="680">
        <f t="shared" ref="F36:F38" si="0">B62/500000</f>
        <v>0.03</v>
      </c>
      <c r="G36" s="549"/>
      <c r="H36" s="549"/>
      <c r="I36" s="549"/>
      <c r="J36" s="415"/>
      <c r="K36" s="415"/>
      <c r="L36" s="415"/>
      <c r="M36" s="415"/>
      <c r="N36" s="415"/>
      <c r="O36" s="415"/>
      <c r="P36" s="415"/>
      <c r="Q36" s="415"/>
      <c r="R36" s="415"/>
      <c r="S36" s="415"/>
      <c r="T36" s="415"/>
      <c r="U36" s="415"/>
      <c r="V36" s="415"/>
      <c r="W36" s="415"/>
      <c r="X36" s="415"/>
      <c r="Y36" s="415"/>
      <c r="Z36" s="415"/>
    </row>
    <row r="37" spans="1:26" ht="15" customHeight="1">
      <c r="A37" s="416" t="s">
        <v>201</v>
      </c>
      <c r="B37" s="600">
        <f>Costs!B23</f>
        <v>40000</v>
      </c>
      <c r="C37" s="650">
        <f>Market!F23</f>
        <v>2.6666666666666665</v>
      </c>
      <c r="D37" s="549"/>
      <c r="E37" s="646" t="s">
        <v>295</v>
      </c>
      <c r="F37" s="680">
        <f t="shared" si="0"/>
        <v>0.02</v>
      </c>
      <c r="G37" s="549"/>
      <c r="H37" s="549"/>
      <c r="I37" s="549"/>
      <c r="J37" s="415"/>
      <c r="K37" s="415"/>
      <c r="L37" s="415"/>
      <c r="M37" s="415"/>
      <c r="N37" s="415"/>
      <c r="O37" s="415"/>
      <c r="P37" s="415"/>
      <c r="Q37" s="415"/>
      <c r="R37" s="415"/>
      <c r="S37" s="415"/>
      <c r="T37" s="415"/>
      <c r="U37" s="415"/>
      <c r="V37" s="415"/>
      <c r="W37" s="415"/>
      <c r="X37" s="415"/>
      <c r="Y37" s="415"/>
      <c r="Z37" s="415"/>
    </row>
    <row r="38" spans="1:26" ht="15" customHeight="1">
      <c r="A38" s="416" t="s">
        <v>29</v>
      </c>
      <c r="B38" s="600">
        <f>Costs!B24</f>
        <v>0</v>
      </c>
      <c r="C38" s="650">
        <f>Market!F24</f>
        <v>0</v>
      </c>
      <c r="D38" s="549"/>
      <c r="E38" s="646" t="s">
        <v>296</v>
      </c>
      <c r="F38" s="680">
        <f t="shared" si="0"/>
        <v>0.02</v>
      </c>
      <c r="G38" s="549"/>
      <c r="H38" s="549"/>
      <c r="I38" s="549"/>
      <c r="J38" s="415"/>
      <c r="K38" s="415"/>
      <c r="L38" s="415"/>
      <c r="M38" s="415"/>
      <c r="N38" s="415"/>
      <c r="O38" s="415"/>
      <c r="P38" s="415"/>
      <c r="Q38" s="415"/>
      <c r="R38" s="415"/>
      <c r="S38" s="415"/>
      <c r="T38" s="415"/>
      <c r="U38" s="415"/>
      <c r="V38" s="415"/>
      <c r="W38" s="415"/>
      <c r="X38" s="415"/>
      <c r="Y38" s="415"/>
      <c r="Z38" s="415"/>
    </row>
    <row r="39" spans="1:26" ht="15" customHeight="1">
      <c r="A39" s="651" t="s">
        <v>297</v>
      </c>
      <c r="B39" s="652">
        <f>SUM(B33:B38)</f>
        <v>95000</v>
      </c>
      <c r="C39" s="653"/>
      <c r="D39" s="549"/>
      <c r="E39" s="651" t="s">
        <v>298</v>
      </c>
      <c r="F39" s="681">
        <f>SUM(F36:F38)</f>
        <v>7.0000000000000007E-2</v>
      </c>
      <c r="G39" s="549"/>
      <c r="H39" s="549"/>
      <c r="I39" s="549"/>
      <c r="J39" s="415"/>
      <c r="K39" s="415"/>
      <c r="L39" s="415"/>
      <c r="M39" s="415"/>
      <c r="N39" s="415"/>
      <c r="O39" s="415"/>
      <c r="P39" s="415"/>
      <c r="Q39" s="415"/>
      <c r="R39" s="415"/>
      <c r="S39" s="415"/>
      <c r="T39" s="415"/>
      <c r="U39" s="415"/>
      <c r="V39" s="415"/>
      <c r="W39" s="415"/>
      <c r="X39" s="415"/>
      <c r="Y39" s="415"/>
      <c r="Z39" s="415"/>
    </row>
    <row r="40" spans="1:26" ht="15" customHeight="1">
      <c r="A40" s="665"/>
      <c r="B40" s="682"/>
      <c r="C40" s="649"/>
      <c r="D40" s="549"/>
      <c r="E40" s="549"/>
      <c r="F40" s="549"/>
      <c r="G40" s="549"/>
      <c r="H40" s="549"/>
      <c r="I40" s="549"/>
      <c r="J40" s="415"/>
      <c r="K40" s="415"/>
      <c r="L40" s="415"/>
      <c r="M40" s="415"/>
      <c r="N40" s="415"/>
      <c r="O40" s="415"/>
      <c r="P40" s="415"/>
      <c r="Q40" s="415"/>
      <c r="R40" s="415"/>
      <c r="S40" s="415"/>
      <c r="T40" s="415"/>
      <c r="U40" s="415"/>
      <c r="V40" s="415"/>
      <c r="W40" s="415"/>
      <c r="X40" s="415"/>
      <c r="Y40" s="415"/>
      <c r="Z40" s="415"/>
    </row>
    <row r="41" spans="1:26" ht="15" customHeight="1">
      <c r="A41" s="683" t="s">
        <v>184</v>
      </c>
      <c r="B41" s="684" t="s">
        <v>87</v>
      </c>
      <c r="C41" s="685"/>
      <c r="D41" s="549"/>
      <c r="E41" s="549"/>
      <c r="F41" s="549"/>
      <c r="G41" s="549"/>
      <c r="H41" s="549"/>
      <c r="I41" s="549"/>
      <c r="J41" s="415"/>
      <c r="K41" s="415"/>
      <c r="L41" s="415"/>
      <c r="M41" s="415"/>
      <c r="N41" s="415"/>
      <c r="O41" s="415"/>
      <c r="P41" s="415"/>
      <c r="Q41" s="415"/>
      <c r="R41" s="415"/>
      <c r="S41" s="415"/>
      <c r="T41" s="415"/>
      <c r="U41" s="415"/>
      <c r="V41" s="415"/>
      <c r="W41" s="415"/>
      <c r="X41" s="415"/>
      <c r="Y41" s="415"/>
      <c r="Z41" s="415"/>
    </row>
    <row r="42" spans="1:26" ht="15" customHeight="1">
      <c r="A42" s="686" t="s">
        <v>299</v>
      </c>
      <c r="B42" s="687">
        <f>Costs!B26+Costs!B27</f>
        <v>19500</v>
      </c>
      <c r="C42" s="688" t="s">
        <v>214</v>
      </c>
      <c r="D42" s="549"/>
      <c r="E42" s="549"/>
      <c r="F42" s="549"/>
      <c r="G42" s="549"/>
      <c r="H42" s="549"/>
      <c r="I42" s="549"/>
      <c r="J42" s="415"/>
      <c r="K42" s="415"/>
      <c r="L42" s="415"/>
      <c r="M42" s="415"/>
      <c r="N42" s="415"/>
      <c r="O42" s="415"/>
      <c r="P42" s="415"/>
      <c r="Q42" s="415"/>
      <c r="R42" s="415"/>
      <c r="S42" s="415"/>
      <c r="T42" s="415"/>
      <c r="U42" s="415"/>
      <c r="V42" s="415"/>
      <c r="W42" s="415"/>
      <c r="X42" s="415"/>
      <c r="Y42" s="415"/>
      <c r="Z42" s="415"/>
    </row>
    <row r="43" spans="1:26" ht="15" customHeight="1">
      <c r="A43" s="689" t="s">
        <v>300</v>
      </c>
      <c r="B43" s="690">
        <f>'Use Allocation'!D25</f>
        <v>7500</v>
      </c>
      <c r="C43" s="691" t="s">
        <v>214</v>
      </c>
      <c r="D43" s="549"/>
      <c r="E43" s="549"/>
      <c r="F43" s="549"/>
      <c r="G43" s="549"/>
      <c r="H43" s="549"/>
      <c r="I43" s="549"/>
      <c r="J43" s="415"/>
      <c r="K43" s="415"/>
      <c r="L43" s="415"/>
      <c r="M43" s="415"/>
      <c r="N43" s="415"/>
      <c r="O43" s="415"/>
      <c r="P43" s="415"/>
      <c r="Q43" s="415"/>
      <c r="R43" s="415"/>
      <c r="S43" s="415"/>
      <c r="T43" s="415"/>
      <c r="U43" s="415"/>
      <c r="V43" s="415"/>
      <c r="W43" s="415"/>
      <c r="X43" s="415"/>
      <c r="Y43" s="415"/>
      <c r="Z43" s="415"/>
    </row>
    <row r="44" spans="1:26" ht="15" customHeight="1">
      <c r="A44" s="689" t="s">
        <v>301</v>
      </c>
      <c r="B44" s="690">
        <f>'Use Allocation'!D26</f>
        <v>0</v>
      </c>
      <c r="C44" s="691" t="s">
        <v>214</v>
      </c>
      <c r="D44" s="549"/>
      <c r="E44" s="549"/>
      <c r="F44" s="549"/>
      <c r="G44" s="549"/>
      <c r="H44" s="549"/>
      <c r="I44" s="549"/>
      <c r="J44" s="415"/>
      <c r="K44" s="415"/>
      <c r="L44" s="415"/>
      <c r="M44" s="415"/>
      <c r="N44" s="415"/>
      <c r="O44" s="415"/>
      <c r="P44" s="415"/>
      <c r="Q44" s="415"/>
      <c r="R44" s="415"/>
      <c r="S44" s="415"/>
      <c r="T44" s="415"/>
      <c r="U44" s="415"/>
      <c r="V44" s="415"/>
      <c r="W44" s="415"/>
      <c r="X44" s="415"/>
      <c r="Y44" s="415"/>
      <c r="Z44" s="415"/>
    </row>
    <row r="45" spans="1:26" ht="15" customHeight="1">
      <c r="A45" s="689" t="s">
        <v>302</v>
      </c>
      <c r="B45" s="690">
        <f>'Use Allocation'!D27</f>
        <v>7000</v>
      </c>
      <c r="C45" s="691" t="s">
        <v>214</v>
      </c>
      <c r="D45" s="549"/>
      <c r="E45" s="549"/>
      <c r="F45" s="549"/>
      <c r="G45" s="549"/>
      <c r="H45" s="549"/>
      <c r="I45" s="549"/>
      <c r="J45" s="415"/>
      <c r="K45" s="415"/>
      <c r="L45" s="415"/>
      <c r="M45" s="415"/>
      <c r="N45" s="415"/>
      <c r="O45" s="415"/>
      <c r="P45" s="415"/>
      <c r="Q45" s="415"/>
      <c r="R45" s="415"/>
      <c r="S45" s="415"/>
      <c r="T45" s="415"/>
      <c r="U45" s="415"/>
      <c r="V45" s="415"/>
      <c r="W45" s="415"/>
      <c r="X45" s="415"/>
      <c r="Y45" s="415"/>
      <c r="Z45" s="415"/>
    </row>
    <row r="46" spans="1:26" ht="15" customHeight="1">
      <c r="A46" s="689" t="s">
        <v>303</v>
      </c>
      <c r="B46" s="690">
        <f>'Use Allocation'!D28</f>
        <v>2000</v>
      </c>
      <c r="C46" s="691" t="s">
        <v>214</v>
      </c>
      <c r="D46" s="549"/>
      <c r="E46" s="549"/>
      <c r="F46" s="549"/>
      <c r="G46" s="549"/>
      <c r="H46" s="549"/>
      <c r="I46" s="549"/>
      <c r="J46" s="415"/>
      <c r="K46" s="415"/>
      <c r="L46" s="415"/>
      <c r="M46" s="415"/>
      <c r="N46" s="415"/>
      <c r="O46" s="415"/>
      <c r="P46" s="415"/>
      <c r="Q46" s="415"/>
      <c r="R46" s="415"/>
      <c r="S46" s="415"/>
      <c r="T46" s="415"/>
      <c r="U46" s="415"/>
      <c r="V46" s="415"/>
      <c r="W46" s="415"/>
      <c r="X46" s="415"/>
      <c r="Y46" s="415"/>
      <c r="Z46" s="415"/>
    </row>
    <row r="47" spans="1:26" ht="15" customHeight="1">
      <c r="A47" s="689" t="s">
        <v>304</v>
      </c>
      <c r="B47" s="690">
        <f>'Use Allocation'!D29</f>
        <v>0</v>
      </c>
      <c r="C47" s="691" t="s">
        <v>214</v>
      </c>
      <c r="D47" s="549"/>
      <c r="E47" s="549"/>
      <c r="F47" s="549"/>
      <c r="G47" s="549"/>
      <c r="H47" s="549"/>
      <c r="I47" s="549"/>
      <c r="J47" s="415"/>
      <c r="K47" s="415"/>
      <c r="L47" s="415"/>
      <c r="M47" s="415"/>
      <c r="N47" s="415"/>
      <c r="O47" s="415"/>
      <c r="P47" s="415"/>
      <c r="Q47" s="415"/>
      <c r="R47" s="415"/>
      <c r="S47" s="415"/>
      <c r="T47" s="415"/>
      <c r="U47" s="415"/>
      <c r="V47" s="415"/>
      <c r="W47" s="415"/>
      <c r="X47" s="415"/>
      <c r="Y47" s="415"/>
      <c r="Z47" s="415"/>
    </row>
    <row r="48" spans="1:26" ht="15" customHeight="1">
      <c r="A48" s="689" t="s">
        <v>305</v>
      </c>
      <c r="B48" s="690">
        <f>'Use Allocation'!D30</f>
        <v>0</v>
      </c>
      <c r="C48" s="691" t="s">
        <v>214</v>
      </c>
      <c r="D48" s="549"/>
      <c r="E48" s="549"/>
      <c r="F48" s="549"/>
      <c r="G48" s="549"/>
      <c r="H48" s="549"/>
      <c r="I48" s="549"/>
      <c r="J48" s="415"/>
      <c r="K48" s="415"/>
      <c r="L48" s="415"/>
      <c r="M48" s="415"/>
      <c r="N48" s="415"/>
      <c r="O48" s="415"/>
      <c r="P48" s="415"/>
      <c r="Q48" s="415"/>
      <c r="R48" s="415"/>
      <c r="S48" s="415"/>
      <c r="T48" s="415"/>
      <c r="U48" s="415"/>
      <c r="V48" s="415"/>
      <c r="W48" s="415"/>
      <c r="X48" s="415"/>
      <c r="Y48" s="415"/>
      <c r="Z48" s="415"/>
    </row>
    <row r="49" spans="1:26" ht="15" customHeight="1">
      <c r="A49" s="689" t="s">
        <v>306</v>
      </c>
      <c r="B49" s="690">
        <f>'Use Allocation'!D31</f>
        <v>1500</v>
      </c>
      <c r="C49" s="691" t="s">
        <v>214</v>
      </c>
      <c r="D49" s="549"/>
      <c r="E49" s="549"/>
      <c r="F49" s="549"/>
      <c r="G49" s="549"/>
      <c r="H49" s="549"/>
      <c r="I49" s="549"/>
      <c r="J49" s="415"/>
      <c r="K49" s="415"/>
      <c r="L49" s="415"/>
      <c r="M49" s="415"/>
      <c r="N49" s="415"/>
      <c r="O49" s="415"/>
      <c r="P49" s="415"/>
      <c r="Q49" s="415"/>
      <c r="R49" s="415"/>
      <c r="S49" s="415"/>
      <c r="T49" s="415"/>
      <c r="U49" s="415"/>
      <c r="V49" s="415"/>
      <c r="W49" s="415"/>
      <c r="X49" s="415"/>
      <c r="Y49" s="415"/>
      <c r="Z49" s="415"/>
    </row>
    <row r="50" spans="1:26" ht="15" customHeight="1">
      <c r="A50" s="689" t="s">
        <v>307</v>
      </c>
      <c r="B50" s="690">
        <f>'Use Allocation'!D32</f>
        <v>1500</v>
      </c>
      <c r="C50" s="691" t="s">
        <v>214</v>
      </c>
      <c r="D50" s="549"/>
      <c r="E50" s="549"/>
      <c r="F50" s="549"/>
      <c r="G50" s="549"/>
      <c r="H50" s="549"/>
      <c r="I50" s="549"/>
      <c r="J50" s="415"/>
      <c r="K50" s="415"/>
      <c r="L50" s="415"/>
      <c r="M50" s="415"/>
      <c r="N50" s="415"/>
      <c r="O50" s="415"/>
      <c r="P50" s="415"/>
      <c r="Q50" s="415"/>
      <c r="R50" s="415"/>
      <c r="S50" s="415"/>
      <c r="T50" s="415"/>
      <c r="U50" s="415"/>
      <c r="V50" s="415"/>
      <c r="W50" s="415"/>
      <c r="X50" s="415"/>
      <c r="Y50" s="415"/>
      <c r="Z50" s="415"/>
    </row>
    <row r="51" spans="1:26" ht="15" customHeight="1">
      <c r="A51" s="689" t="s">
        <v>308</v>
      </c>
      <c r="B51" s="690">
        <f>'Use Allocation'!D33</f>
        <v>0</v>
      </c>
      <c r="C51" s="691" t="s">
        <v>214</v>
      </c>
      <c r="D51" s="549"/>
      <c r="E51" s="549"/>
      <c r="F51" s="549"/>
      <c r="G51" s="549"/>
      <c r="H51" s="549"/>
      <c r="I51" s="549"/>
      <c r="J51" s="415"/>
      <c r="K51" s="415"/>
      <c r="L51" s="415"/>
      <c r="M51" s="415"/>
      <c r="N51" s="415"/>
      <c r="O51" s="415"/>
      <c r="P51" s="415"/>
      <c r="Q51" s="415"/>
      <c r="R51" s="415"/>
      <c r="S51" s="415"/>
      <c r="T51" s="415"/>
      <c r="U51" s="415"/>
      <c r="V51" s="415"/>
      <c r="W51" s="415"/>
      <c r="X51" s="415"/>
      <c r="Y51" s="415"/>
      <c r="Z51" s="415"/>
    </row>
    <row r="52" spans="1:26" ht="15" customHeight="1">
      <c r="A52" s="689" t="s">
        <v>309</v>
      </c>
      <c r="B52" s="690">
        <f>'Use Allocation'!D34</f>
        <v>0</v>
      </c>
      <c r="C52" s="691" t="s">
        <v>214</v>
      </c>
      <c r="D52" s="549"/>
      <c r="E52" s="549"/>
      <c r="F52" s="549"/>
      <c r="G52" s="549"/>
      <c r="H52" s="549"/>
      <c r="I52" s="549"/>
      <c r="J52" s="415"/>
      <c r="K52" s="415"/>
      <c r="L52" s="415"/>
      <c r="M52" s="415"/>
      <c r="N52" s="415"/>
      <c r="O52" s="415"/>
      <c r="P52" s="415"/>
      <c r="Q52" s="415"/>
      <c r="R52" s="415"/>
      <c r="S52" s="415"/>
      <c r="T52" s="415"/>
      <c r="U52" s="415"/>
      <c r="V52" s="415"/>
      <c r="W52" s="415"/>
      <c r="X52" s="415"/>
      <c r="Y52" s="415"/>
      <c r="Z52" s="415"/>
    </row>
    <row r="53" spans="1:26" ht="15" customHeight="1">
      <c r="A53" s="689" t="s">
        <v>310</v>
      </c>
      <c r="B53" s="690">
        <f>'Use Allocation'!D35</f>
        <v>0</v>
      </c>
      <c r="C53" s="691" t="s">
        <v>214</v>
      </c>
      <c r="D53" s="549"/>
      <c r="E53" s="549"/>
      <c r="F53" s="549"/>
      <c r="G53" s="549"/>
      <c r="H53" s="549"/>
      <c r="I53" s="549"/>
      <c r="J53" s="415"/>
      <c r="K53" s="415"/>
      <c r="L53" s="415"/>
      <c r="M53" s="415"/>
      <c r="N53" s="415"/>
      <c r="O53" s="415"/>
      <c r="P53" s="415"/>
      <c r="Q53" s="415"/>
      <c r="R53" s="415"/>
      <c r="S53" s="415"/>
      <c r="T53" s="415"/>
      <c r="U53" s="415"/>
      <c r="V53" s="415"/>
      <c r="W53" s="415"/>
      <c r="X53" s="415"/>
      <c r="Y53" s="415"/>
      <c r="Z53" s="415"/>
    </row>
    <row r="54" spans="1:26" ht="15" customHeight="1">
      <c r="A54" s="689" t="s">
        <v>311</v>
      </c>
      <c r="B54" s="690">
        <f>'Use Allocation'!D36</f>
        <v>0</v>
      </c>
      <c r="C54" s="691" t="s">
        <v>214</v>
      </c>
      <c r="D54" s="549"/>
      <c r="E54" s="549"/>
      <c r="F54" s="549"/>
      <c r="G54" s="549"/>
      <c r="H54" s="549"/>
      <c r="I54" s="549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415"/>
      <c r="Z54" s="415"/>
    </row>
    <row r="55" spans="1:26" ht="15" customHeight="1">
      <c r="A55" s="689" t="s">
        <v>312</v>
      </c>
      <c r="B55" s="690">
        <f>'Use Allocation'!D37</f>
        <v>0</v>
      </c>
      <c r="C55" s="691" t="s">
        <v>214</v>
      </c>
      <c r="D55" s="549"/>
      <c r="E55" s="549"/>
      <c r="F55" s="549"/>
      <c r="G55" s="549"/>
      <c r="H55" s="549"/>
      <c r="I55" s="549"/>
      <c r="J55" s="415"/>
      <c r="K55" s="415"/>
      <c r="L55" s="415"/>
      <c r="M55" s="415"/>
      <c r="N55" s="415"/>
      <c r="O55" s="415"/>
      <c r="P55" s="415"/>
      <c r="Q55" s="415"/>
      <c r="R55" s="415"/>
      <c r="S55" s="415"/>
      <c r="T55" s="415"/>
      <c r="U55" s="415"/>
      <c r="V55" s="415"/>
      <c r="W55" s="415"/>
      <c r="X55" s="415"/>
      <c r="Y55" s="415"/>
      <c r="Z55" s="415"/>
    </row>
    <row r="56" spans="1:26" ht="15" customHeight="1">
      <c r="A56" s="692" t="s">
        <v>313</v>
      </c>
      <c r="B56" s="690">
        <f>Costs!B28</f>
        <v>0</v>
      </c>
      <c r="C56" s="691" t="s">
        <v>214</v>
      </c>
      <c r="D56" s="549"/>
      <c r="E56" s="549"/>
      <c r="F56" s="549"/>
      <c r="G56" s="549"/>
      <c r="H56" s="549"/>
      <c r="I56" s="549"/>
      <c r="J56" s="415"/>
      <c r="K56" s="415"/>
      <c r="L56" s="415"/>
      <c r="M56" s="415"/>
      <c r="N56" s="415"/>
      <c r="O56" s="415"/>
      <c r="P56" s="415"/>
      <c r="Q56" s="415"/>
      <c r="R56" s="415"/>
      <c r="S56" s="415"/>
      <c r="T56" s="415"/>
      <c r="U56" s="415"/>
      <c r="V56" s="415"/>
      <c r="W56" s="415"/>
      <c r="X56" s="415"/>
      <c r="Y56" s="415"/>
      <c r="Z56" s="415"/>
    </row>
    <row r="57" spans="1:26" ht="15" customHeight="1">
      <c r="A57" s="689" t="s">
        <v>311</v>
      </c>
      <c r="B57" s="690">
        <f>'Use Allocation'!D18</f>
        <v>0</v>
      </c>
      <c r="C57" s="691" t="s">
        <v>214</v>
      </c>
      <c r="D57" s="549"/>
      <c r="E57" s="549"/>
      <c r="F57" s="549"/>
      <c r="G57" s="549"/>
      <c r="H57" s="549"/>
      <c r="I57" s="549"/>
      <c r="J57" s="415"/>
      <c r="K57" s="415"/>
      <c r="L57" s="415"/>
      <c r="M57" s="415"/>
      <c r="N57" s="415"/>
      <c r="O57" s="415"/>
      <c r="P57" s="415"/>
      <c r="Q57" s="415"/>
      <c r="R57" s="415"/>
      <c r="S57" s="415"/>
      <c r="T57" s="415"/>
      <c r="U57" s="415"/>
      <c r="V57" s="415"/>
      <c r="W57" s="415"/>
      <c r="X57" s="415"/>
      <c r="Y57" s="415"/>
      <c r="Z57" s="415"/>
    </row>
    <row r="58" spans="1:26" ht="15" customHeight="1">
      <c r="A58" s="693" t="s">
        <v>312</v>
      </c>
      <c r="B58" s="694">
        <f>'Use Allocation'!D19</f>
        <v>0</v>
      </c>
      <c r="C58" s="662" t="s">
        <v>214</v>
      </c>
      <c r="D58" s="549"/>
      <c r="E58" s="549"/>
      <c r="F58" s="549"/>
      <c r="G58" s="549"/>
      <c r="H58" s="549"/>
      <c r="I58" s="549"/>
      <c r="J58" s="415"/>
      <c r="K58" s="415"/>
      <c r="L58" s="415"/>
      <c r="M58" s="415"/>
      <c r="N58" s="415"/>
      <c r="O58" s="415"/>
      <c r="P58" s="415"/>
      <c r="Q58" s="415"/>
      <c r="R58" s="415"/>
      <c r="S58" s="415"/>
      <c r="T58" s="415"/>
      <c r="U58" s="415"/>
      <c r="V58" s="415"/>
      <c r="W58" s="415"/>
      <c r="X58" s="415"/>
      <c r="Y58" s="415"/>
      <c r="Z58" s="415"/>
    </row>
    <row r="59" spans="1:26" ht="15" customHeight="1">
      <c r="A59" s="651" t="s">
        <v>314</v>
      </c>
      <c r="B59" s="652">
        <f>SUM(B56,B42)</f>
        <v>19500</v>
      </c>
      <c r="C59" s="664" t="s">
        <v>214</v>
      </c>
      <c r="D59" s="549"/>
      <c r="E59" s="549"/>
      <c r="F59" s="549"/>
      <c r="G59" s="549"/>
      <c r="H59" s="549"/>
      <c r="I59" s="549"/>
      <c r="J59" s="415"/>
      <c r="K59" s="415"/>
      <c r="L59" s="415"/>
      <c r="M59" s="415"/>
      <c r="N59" s="415"/>
      <c r="O59" s="415"/>
      <c r="P59" s="415"/>
      <c r="Q59" s="415"/>
      <c r="R59" s="415"/>
      <c r="S59" s="415"/>
      <c r="T59" s="415"/>
      <c r="U59" s="415"/>
      <c r="V59" s="415"/>
      <c r="W59" s="415"/>
      <c r="X59" s="415"/>
      <c r="Y59" s="415"/>
      <c r="Z59" s="415"/>
    </row>
    <row r="60" spans="1:26" ht="15" customHeight="1">
      <c r="A60" s="528"/>
      <c r="B60" s="674"/>
      <c r="C60" s="675"/>
      <c r="D60" s="549"/>
      <c r="E60" s="695"/>
      <c r="F60" s="695"/>
      <c r="G60" s="549"/>
      <c r="H60" s="549"/>
      <c r="I60" s="549"/>
      <c r="J60" s="415"/>
      <c r="K60" s="415"/>
      <c r="L60" s="415"/>
      <c r="M60" s="415"/>
      <c r="N60" s="415"/>
      <c r="O60" s="415"/>
      <c r="P60" s="415"/>
      <c r="Q60" s="415"/>
      <c r="R60" s="415"/>
      <c r="S60" s="415"/>
      <c r="T60" s="415"/>
      <c r="U60" s="415"/>
      <c r="V60" s="415"/>
      <c r="W60" s="415"/>
      <c r="X60" s="415"/>
      <c r="Y60" s="415"/>
      <c r="Z60" s="415"/>
    </row>
    <row r="61" spans="1:26" ht="15" customHeight="1">
      <c r="A61" s="647" t="s">
        <v>34</v>
      </c>
      <c r="B61" s="658" t="s">
        <v>80</v>
      </c>
      <c r="C61" s="662" t="s">
        <v>214</v>
      </c>
      <c r="D61" s="549"/>
      <c r="E61" s="695"/>
      <c r="F61" s="695"/>
      <c r="G61" s="549"/>
      <c r="H61" s="549"/>
      <c r="I61" s="549"/>
      <c r="J61" s="415"/>
      <c r="K61" s="415"/>
      <c r="L61" s="415"/>
      <c r="M61" s="415"/>
      <c r="N61" s="415"/>
      <c r="O61" s="415"/>
      <c r="P61" s="415"/>
      <c r="Q61" s="415"/>
      <c r="R61" s="415"/>
      <c r="S61" s="415"/>
      <c r="T61" s="415"/>
      <c r="U61" s="415"/>
      <c r="V61" s="415"/>
      <c r="W61" s="415"/>
      <c r="X61" s="415"/>
      <c r="Y61" s="415"/>
      <c r="Z61" s="415"/>
    </row>
    <row r="62" spans="1:26" ht="15" customHeight="1">
      <c r="A62" s="416" t="s">
        <v>35</v>
      </c>
      <c r="B62" s="600">
        <f>Costs!B30</f>
        <v>15000</v>
      </c>
      <c r="C62" s="662" t="s">
        <v>214</v>
      </c>
      <c r="D62" s="549"/>
      <c r="E62" s="695"/>
      <c r="F62" s="695"/>
      <c r="G62" s="549"/>
      <c r="H62" s="549"/>
      <c r="I62" s="549"/>
      <c r="J62" s="415"/>
      <c r="K62" s="415"/>
      <c r="L62" s="415"/>
      <c r="M62" s="415"/>
      <c r="N62" s="415"/>
      <c r="O62" s="415"/>
      <c r="P62" s="415"/>
      <c r="Q62" s="415"/>
      <c r="R62" s="415"/>
      <c r="S62" s="415"/>
      <c r="T62" s="415"/>
      <c r="U62" s="415"/>
      <c r="V62" s="415"/>
      <c r="W62" s="415"/>
      <c r="X62" s="415"/>
      <c r="Y62" s="415"/>
      <c r="Z62" s="415"/>
    </row>
    <row r="63" spans="1:26" ht="15" customHeight="1">
      <c r="A63" s="416" t="s">
        <v>36</v>
      </c>
      <c r="B63" s="600">
        <f>Costs!B31</f>
        <v>10000</v>
      </c>
      <c r="C63" s="662" t="s">
        <v>214</v>
      </c>
      <c r="D63" s="549"/>
      <c r="E63" s="695"/>
      <c r="F63" s="695"/>
      <c r="G63" s="549"/>
      <c r="H63" s="549"/>
      <c r="I63" s="549"/>
      <c r="J63" s="415"/>
      <c r="K63" s="415"/>
      <c r="L63" s="415"/>
      <c r="M63" s="415"/>
      <c r="N63" s="415"/>
      <c r="O63" s="415"/>
      <c r="P63" s="415"/>
      <c r="Q63" s="415"/>
      <c r="R63" s="415"/>
      <c r="S63" s="415"/>
      <c r="T63" s="415"/>
      <c r="U63" s="415"/>
      <c r="V63" s="415"/>
      <c r="W63" s="415"/>
      <c r="X63" s="415"/>
      <c r="Y63" s="415"/>
      <c r="Z63" s="415"/>
    </row>
    <row r="64" spans="1:26" ht="15" customHeight="1">
      <c r="A64" s="416" t="s">
        <v>37</v>
      </c>
      <c r="B64" s="600">
        <f>Costs!B32</f>
        <v>10000</v>
      </c>
      <c r="C64" s="662" t="s">
        <v>214</v>
      </c>
      <c r="D64" s="549"/>
      <c r="E64" s="695"/>
      <c r="F64" s="695"/>
      <c r="G64" s="549"/>
      <c r="H64" s="549"/>
      <c r="I64" s="549"/>
      <c r="J64" s="415"/>
      <c r="K64" s="415"/>
      <c r="L64" s="415"/>
      <c r="M64" s="415"/>
      <c r="N64" s="415"/>
      <c r="O64" s="415"/>
      <c r="P64" s="415"/>
      <c r="Q64" s="415"/>
      <c r="R64" s="415"/>
      <c r="S64" s="415"/>
      <c r="T64" s="415"/>
      <c r="U64" s="415"/>
      <c r="V64" s="415"/>
      <c r="W64" s="415"/>
      <c r="X64" s="415"/>
      <c r="Y64" s="415"/>
      <c r="Z64" s="415"/>
    </row>
    <row r="65" spans="1:26" ht="15" customHeight="1">
      <c r="A65" s="651" t="s">
        <v>315</v>
      </c>
      <c r="B65" s="652">
        <f>SUM(B62:B64)</f>
        <v>35000</v>
      </c>
      <c r="C65" s="664" t="s">
        <v>214</v>
      </c>
      <c r="D65" s="549"/>
      <c r="E65" s="695"/>
      <c r="F65" s="695"/>
      <c r="G65" s="549"/>
      <c r="H65" s="549"/>
      <c r="I65" s="549"/>
      <c r="J65" s="415"/>
      <c r="K65" s="415"/>
      <c r="L65" s="415"/>
      <c r="M65" s="415"/>
      <c r="N65" s="415"/>
      <c r="O65" s="415"/>
      <c r="P65" s="415"/>
      <c r="Q65" s="415"/>
      <c r="R65" s="415"/>
      <c r="S65" s="415"/>
      <c r="T65" s="415"/>
      <c r="U65" s="415"/>
      <c r="V65" s="415"/>
      <c r="W65" s="415"/>
      <c r="X65" s="415"/>
      <c r="Y65" s="415"/>
      <c r="Z65" s="415"/>
    </row>
    <row r="66" spans="1:26" ht="15" customHeight="1">
      <c r="A66" s="528"/>
      <c r="B66" s="696"/>
      <c r="C66" s="697"/>
      <c r="D66" s="549"/>
      <c r="E66" s="549"/>
      <c r="F66" s="549"/>
      <c r="G66" s="549"/>
      <c r="H66" s="549"/>
      <c r="I66" s="549"/>
      <c r="J66" s="415"/>
      <c r="K66" s="415"/>
      <c r="L66" s="415"/>
      <c r="M66" s="415"/>
      <c r="N66" s="415"/>
      <c r="O66" s="415"/>
      <c r="P66" s="415"/>
      <c r="Q66" s="415"/>
      <c r="R66" s="415"/>
      <c r="S66" s="415"/>
      <c r="T66" s="415"/>
      <c r="U66" s="415"/>
      <c r="V66" s="415"/>
      <c r="W66" s="415"/>
      <c r="X66" s="415"/>
      <c r="Y66" s="415"/>
      <c r="Z66" s="415"/>
    </row>
    <row r="67" spans="1:26" ht="15" customHeight="1">
      <c r="A67" s="647" t="s">
        <v>105</v>
      </c>
      <c r="B67" s="658" t="s">
        <v>316</v>
      </c>
      <c r="C67" s="669"/>
      <c r="D67" s="549"/>
      <c r="E67" s="549"/>
      <c r="F67" s="549"/>
      <c r="G67" s="549"/>
      <c r="H67" s="549"/>
      <c r="I67" s="549"/>
      <c r="J67" s="415"/>
      <c r="K67" s="415"/>
      <c r="L67" s="415"/>
      <c r="M67" s="415"/>
      <c r="N67" s="415"/>
      <c r="O67" s="415"/>
      <c r="P67" s="415"/>
      <c r="Q67" s="415"/>
      <c r="R67" s="415"/>
      <c r="S67" s="415"/>
      <c r="T67" s="415"/>
      <c r="U67" s="415"/>
      <c r="V67" s="415"/>
      <c r="W67" s="415"/>
      <c r="X67" s="415"/>
      <c r="Y67" s="415"/>
      <c r="Z67" s="415"/>
    </row>
    <row r="68" spans="1:26" ht="15" customHeight="1">
      <c r="A68" s="416" t="s">
        <v>191</v>
      </c>
      <c r="B68" s="600">
        <f>Costs!B36</f>
        <v>0</v>
      </c>
      <c r="C68" s="669"/>
      <c r="D68" s="549"/>
      <c r="E68" s="549"/>
      <c r="F68" s="549"/>
      <c r="G68" s="549"/>
      <c r="H68" s="549"/>
      <c r="I68" s="549"/>
      <c r="J68" s="415"/>
      <c r="K68" s="415"/>
      <c r="L68" s="415"/>
      <c r="M68" s="415"/>
      <c r="N68" s="415"/>
      <c r="O68" s="415"/>
      <c r="P68" s="415"/>
      <c r="Q68" s="415"/>
      <c r="R68" s="415"/>
      <c r="S68" s="415"/>
      <c r="T68" s="415"/>
      <c r="U68" s="415"/>
      <c r="V68" s="415"/>
      <c r="W68" s="415"/>
      <c r="X68" s="415"/>
      <c r="Y68" s="415"/>
      <c r="Z68" s="415"/>
    </row>
    <row r="69" spans="1:26" ht="15" customHeight="1">
      <c r="A69" s="416" t="s">
        <v>192</v>
      </c>
      <c r="B69" s="600">
        <f>Costs!B37</f>
        <v>75</v>
      </c>
      <c r="C69" s="669"/>
      <c r="D69" s="549"/>
      <c r="E69" s="549"/>
      <c r="F69" s="549"/>
      <c r="G69" s="549"/>
      <c r="H69" s="549"/>
      <c r="I69" s="549"/>
      <c r="J69" s="415"/>
      <c r="K69" s="415"/>
      <c r="L69" s="415"/>
      <c r="M69" s="415"/>
      <c r="N69" s="415"/>
      <c r="O69" s="415"/>
      <c r="P69" s="415"/>
      <c r="Q69" s="415"/>
      <c r="R69" s="415"/>
      <c r="S69" s="415"/>
      <c r="T69" s="415"/>
      <c r="U69" s="415"/>
      <c r="V69" s="415"/>
      <c r="W69" s="415"/>
      <c r="X69" s="415"/>
      <c r="Y69" s="415"/>
      <c r="Z69" s="415"/>
    </row>
    <row r="70" spans="1:26" ht="15" customHeight="1">
      <c r="A70" s="416" t="s">
        <v>193</v>
      </c>
      <c r="B70" s="600">
        <f>Costs!B38</f>
        <v>360</v>
      </c>
      <c r="C70" s="669"/>
      <c r="D70" s="549"/>
      <c r="E70" s="549"/>
      <c r="F70" s="549"/>
      <c r="G70" s="549"/>
      <c r="H70" s="549"/>
      <c r="I70" s="549"/>
      <c r="J70" s="415"/>
      <c r="K70" s="415"/>
      <c r="L70" s="415"/>
      <c r="M70" s="415"/>
      <c r="N70" s="415"/>
      <c r="O70" s="415"/>
      <c r="P70" s="415"/>
      <c r="Q70" s="415"/>
      <c r="R70" s="415"/>
      <c r="S70" s="415"/>
      <c r="T70" s="415"/>
      <c r="U70" s="415"/>
      <c r="V70" s="415"/>
      <c r="W70" s="415"/>
      <c r="X70" s="415"/>
      <c r="Y70" s="415"/>
      <c r="Z70" s="415"/>
    </row>
    <row r="71" spans="1:26" ht="15" customHeight="1">
      <c r="A71" s="416" t="s">
        <v>194</v>
      </c>
      <c r="B71" s="600">
        <f>Costs!B39</f>
        <v>480</v>
      </c>
      <c r="C71" s="669"/>
      <c r="D71" s="549"/>
      <c r="E71" s="549"/>
      <c r="F71" s="549"/>
      <c r="G71" s="549"/>
      <c r="H71" s="549"/>
      <c r="I71" s="549"/>
      <c r="J71" s="415"/>
      <c r="K71" s="415"/>
      <c r="L71" s="415"/>
      <c r="M71" s="415"/>
      <c r="N71" s="415"/>
      <c r="O71" s="415"/>
      <c r="P71" s="415"/>
      <c r="Q71" s="415"/>
      <c r="R71" s="415"/>
      <c r="S71" s="415"/>
      <c r="T71" s="415"/>
      <c r="U71" s="415"/>
      <c r="V71" s="415"/>
      <c r="W71" s="415"/>
      <c r="X71" s="415"/>
      <c r="Y71" s="415"/>
      <c r="Z71" s="415"/>
    </row>
    <row r="72" spans="1:26" ht="15" customHeight="1">
      <c r="A72" s="416" t="s">
        <v>222</v>
      </c>
      <c r="B72" s="600">
        <f>Costs!B40</f>
        <v>160</v>
      </c>
      <c r="C72" s="669"/>
      <c r="D72" s="549"/>
      <c r="E72" s="549"/>
      <c r="F72" s="549"/>
      <c r="G72" s="549"/>
      <c r="H72" s="549"/>
      <c r="I72" s="549"/>
      <c r="J72" s="415"/>
      <c r="K72" s="415"/>
      <c r="L72" s="415"/>
      <c r="M72" s="415"/>
      <c r="N72" s="415"/>
      <c r="O72" s="415"/>
      <c r="P72" s="415"/>
      <c r="Q72" s="415"/>
      <c r="R72" s="415"/>
      <c r="S72" s="415"/>
      <c r="T72" s="415"/>
      <c r="U72" s="415"/>
      <c r="V72" s="415"/>
      <c r="W72" s="415"/>
      <c r="X72" s="415"/>
      <c r="Y72" s="415"/>
      <c r="Z72" s="415"/>
    </row>
    <row r="73" spans="1:26" ht="15" customHeight="1">
      <c r="A73" s="416" t="s">
        <v>196</v>
      </c>
      <c r="B73" s="600">
        <f>Costs!B41</f>
        <v>0</v>
      </c>
      <c r="C73" s="669"/>
      <c r="D73" s="549"/>
      <c r="E73" s="549"/>
      <c r="F73" s="549"/>
      <c r="G73" s="549"/>
      <c r="H73" s="549"/>
      <c r="I73" s="549"/>
      <c r="J73" s="415"/>
      <c r="K73" s="415"/>
      <c r="L73" s="415"/>
      <c r="M73" s="415"/>
      <c r="N73" s="415"/>
      <c r="O73" s="415"/>
      <c r="P73" s="415"/>
      <c r="Q73" s="415"/>
      <c r="R73" s="415"/>
      <c r="S73" s="415"/>
      <c r="T73" s="415"/>
      <c r="U73" s="415"/>
      <c r="V73" s="415"/>
      <c r="W73" s="415"/>
      <c r="X73" s="415"/>
      <c r="Y73" s="415"/>
      <c r="Z73" s="415"/>
    </row>
    <row r="74" spans="1:26" ht="15" customHeight="1">
      <c r="A74" s="651" t="s">
        <v>317</v>
      </c>
      <c r="B74" s="652">
        <f>SUM(B68:B73)</f>
        <v>1075</v>
      </c>
      <c r="C74" s="664" t="s">
        <v>214</v>
      </c>
      <c r="D74" s="549"/>
      <c r="E74" s="549"/>
      <c r="F74" s="549"/>
      <c r="G74" s="549"/>
      <c r="H74" s="549"/>
      <c r="I74" s="549"/>
      <c r="J74" s="415"/>
      <c r="K74" s="415"/>
      <c r="L74" s="415"/>
      <c r="M74" s="415"/>
      <c r="N74" s="415"/>
      <c r="O74" s="415"/>
      <c r="P74" s="415"/>
      <c r="Q74" s="415"/>
      <c r="R74" s="415"/>
      <c r="S74" s="415"/>
      <c r="T74" s="415"/>
      <c r="U74" s="415"/>
      <c r="V74" s="415"/>
      <c r="W74" s="415"/>
      <c r="X74" s="415"/>
      <c r="Y74" s="415"/>
      <c r="Z74" s="415"/>
    </row>
    <row r="75" spans="1:26" ht="12" customHeight="1">
      <c r="A75" s="635"/>
      <c r="B75" s="635"/>
      <c r="C75" s="698"/>
      <c r="D75" s="18"/>
      <c r="E75" s="18"/>
      <c r="F75" s="18"/>
      <c r="G75" s="18"/>
      <c r="H75" s="18"/>
      <c r="I75" s="18"/>
    </row>
    <row r="76" spans="1:26" ht="12" customHeight="1">
      <c r="A76" s="18"/>
      <c r="B76" s="18"/>
      <c r="C76" s="637"/>
      <c r="D76" s="18"/>
      <c r="E76" s="18"/>
      <c r="F76" s="18"/>
      <c r="G76" s="18"/>
      <c r="H76" s="18"/>
      <c r="I76" s="18"/>
    </row>
    <row r="77" spans="1:26" ht="12" hidden="1" customHeight="1">
      <c r="A77" s="18"/>
      <c r="B77" s="18"/>
      <c r="C77" s="637"/>
      <c r="D77" s="18"/>
      <c r="E77" s="18"/>
      <c r="F77" s="18"/>
      <c r="G77" s="18"/>
      <c r="H77" s="18"/>
      <c r="I77" s="18"/>
    </row>
    <row r="78" spans="1:26" ht="15.75" hidden="1" customHeight="1"/>
    <row r="79" spans="1:26" ht="15.75" hidden="1" customHeight="1"/>
    <row r="80" spans="1:26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5:C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summaryBelow="0" summaryRight="0"/>
  </sheetPr>
  <dimension ref="A1:F1000"/>
  <sheetViews>
    <sheetView showGridLines="0" workbookViewId="0"/>
  </sheetViews>
  <sheetFormatPr defaultColWidth="14.42578125" defaultRowHeight="15" customHeight="1"/>
  <cols>
    <col min="1" max="1" width="5.42578125" customWidth="1"/>
    <col min="2" max="2" width="53.28515625" customWidth="1"/>
    <col min="3" max="3" width="10.42578125" customWidth="1"/>
    <col min="4" max="6" width="5" customWidth="1"/>
    <col min="7" max="26" width="17.28515625" customWidth="1"/>
  </cols>
  <sheetData>
    <row r="1" spans="1:6" ht="6" customHeight="1">
      <c r="A1" s="14"/>
    </row>
    <row r="2" spans="1:6" ht="12.75" customHeight="1">
      <c r="A2" s="15" t="s">
        <v>14</v>
      </c>
      <c r="B2" s="16" t="s">
        <v>15</v>
      </c>
      <c r="C2" s="17"/>
      <c r="D2" s="18"/>
      <c r="E2" s="18"/>
      <c r="F2" s="18"/>
    </row>
    <row r="3" spans="1:6" ht="12" customHeight="1">
      <c r="A3" s="19">
        <v>1</v>
      </c>
      <c r="B3" s="20" t="s">
        <v>16</v>
      </c>
      <c r="C3" s="21"/>
      <c r="D3" s="18"/>
      <c r="E3" s="18"/>
      <c r="F3" s="18"/>
    </row>
    <row r="4" spans="1:6" ht="12.75" customHeight="1">
      <c r="A4" s="22"/>
      <c r="B4" s="23" t="s">
        <v>17</v>
      </c>
      <c r="C4" s="24">
        <f>'Development by Block'!E4</f>
        <v>2</v>
      </c>
      <c r="D4" s="18"/>
      <c r="E4" s="18"/>
      <c r="F4" s="18"/>
    </row>
    <row r="5" spans="1:6" ht="12.75" customHeight="1">
      <c r="A5" s="22"/>
      <c r="B5" s="23" t="s">
        <v>18</v>
      </c>
      <c r="C5" s="24">
        <f>'Development by Block'!E5</f>
        <v>0</v>
      </c>
      <c r="D5" s="18"/>
      <c r="E5" s="18"/>
      <c r="F5" s="18"/>
    </row>
    <row r="6" spans="1:6" ht="12.75" customHeight="1">
      <c r="A6" s="22"/>
      <c r="B6" s="23" t="s">
        <v>19</v>
      </c>
      <c r="C6" s="24">
        <f>'Development by Block'!E6</f>
        <v>0</v>
      </c>
      <c r="D6" s="18"/>
      <c r="E6" s="18"/>
      <c r="F6" s="18"/>
    </row>
    <row r="7" spans="1:6" ht="12.75" customHeight="1">
      <c r="A7" s="22"/>
      <c r="B7" s="23" t="s">
        <v>20</v>
      </c>
      <c r="C7" s="24">
        <f>'Development by Block'!E7</f>
        <v>0</v>
      </c>
      <c r="D7" s="18"/>
      <c r="E7" s="18"/>
      <c r="F7" s="18"/>
    </row>
    <row r="8" spans="1:6" ht="12.75" customHeight="1">
      <c r="A8" s="22"/>
      <c r="B8" s="25" t="s">
        <v>21</v>
      </c>
      <c r="C8" s="26" t="s">
        <v>22</v>
      </c>
      <c r="D8" s="18"/>
      <c r="E8" s="18"/>
      <c r="F8" s="18"/>
    </row>
    <row r="9" spans="1:6" ht="12.75" customHeight="1">
      <c r="A9" s="22"/>
      <c r="B9" s="23" t="s">
        <v>23</v>
      </c>
      <c r="C9" s="24">
        <f>'Development by Block'!E9</f>
        <v>1</v>
      </c>
      <c r="D9" s="18"/>
      <c r="E9" s="18"/>
      <c r="F9" s="18"/>
    </row>
    <row r="10" spans="1:6" ht="12.75" customHeight="1">
      <c r="A10" s="22"/>
      <c r="B10" s="23" t="s">
        <v>24</v>
      </c>
      <c r="C10" s="24">
        <f>'Development by Block'!E10</f>
        <v>0</v>
      </c>
      <c r="D10" s="18"/>
      <c r="E10" s="18"/>
      <c r="F10" s="18"/>
    </row>
    <row r="11" spans="1:6" ht="12.75" customHeight="1">
      <c r="A11" s="22"/>
      <c r="B11" s="23" t="s">
        <v>25</v>
      </c>
      <c r="C11" s="24">
        <f>'Development by Block'!E11</f>
        <v>0</v>
      </c>
      <c r="D11" s="18"/>
      <c r="E11" s="18"/>
      <c r="F11" s="18"/>
    </row>
    <row r="12" spans="1:6" ht="12.75" customHeight="1">
      <c r="A12" s="22"/>
      <c r="B12" s="25" t="s">
        <v>26</v>
      </c>
      <c r="C12" s="26" t="s">
        <v>22</v>
      </c>
      <c r="D12" s="18"/>
      <c r="E12" s="18"/>
      <c r="F12" s="18"/>
    </row>
    <row r="13" spans="1:6" ht="12.75" customHeight="1">
      <c r="A13" s="22"/>
      <c r="B13" s="23" t="s">
        <v>27</v>
      </c>
      <c r="C13" s="24">
        <f>'Development by Block'!E13</f>
        <v>0</v>
      </c>
      <c r="D13" s="18"/>
      <c r="E13" s="18"/>
      <c r="F13" s="18"/>
    </row>
    <row r="14" spans="1:6" ht="12.75" customHeight="1">
      <c r="A14" s="22"/>
      <c r="B14" s="23" t="s">
        <v>28</v>
      </c>
      <c r="C14" s="24">
        <f>'Development by Block'!E14</f>
        <v>1</v>
      </c>
      <c r="D14" s="18"/>
      <c r="E14" s="18"/>
      <c r="F14" s="18"/>
    </row>
    <row r="15" spans="1:6" ht="12.75" customHeight="1">
      <c r="A15" s="22"/>
      <c r="B15" s="23" t="s">
        <v>29</v>
      </c>
      <c r="C15" s="24">
        <f>'Development by Block'!E15</f>
        <v>0</v>
      </c>
      <c r="D15" s="18"/>
      <c r="E15" s="18"/>
      <c r="F15" s="18"/>
    </row>
    <row r="16" spans="1:6" ht="12.75" customHeight="1">
      <c r="A16" s="22"/>
      <c r="B16" s="25" t="s">
        <v>30</v>
      </c>
      <c r="C16" s="26" t="s">
        <v>22</v>
      </c>
      <c r="D16" s="18"/>
      <c r="E16" s="18"/>
      <c r="F16" s="18"/>
    </row>
    <row r="17" spans="1:6" ht="12.75" customHeight="1">
      <c r="A17" s="22"/>
      <c r="B17" s="23" t="s">
        <v>31</v>
      </c>
      <c r="C17" s="27"/>
      <c r="D17" s="18"/>
      <c r="E17" s="18"/>
      <c r="F17" s="18"/>
    </row>
    <row r="18" spans="1:6" ht="12.75" customHeight="1">
      <c r="A18" s="22"/>
      <c r="B18" s="23" t="s">
        <v>32</v>
      </c>
      <c r="C18" s="27"/>
      <c r="D18" s="18"/>
      <c r="E18" s="18"/>
      <c r="F18" s="18"/>
    </row>
    <row r="19" spans="1:6" ht="12.75" customHeight="1">
      <c r="A19" s="22"/>
      <c r="B19" s="23" t="s">
        <v>33</v>
      </c>
      <c r="C19" s="27"/>
      <c r="D19" s="18"/>
      <c r="E19" s="18"/>
      <c r="F19" s="18"/>
    </row>
    <row r="20" spans="1:6" ht="12.75" customHeight="1">
      <c r="A20" s="22"/>
      <c r="B20" s="25" t="s">
        <v>34</v>
      </c>
      <c r="C20" s="26" t="s">
        <v>34</v>
      </c>
      <c r="D20" s="18"/>
      <c r="E20" s="18"/>
      <c r="F20" s="18"/>
    </row>
    <row r="21" spans="1:6" ht="12.75" customHeight="1">
      <c r="A21" s="22"/>
      <c r="B21" s="23" t="s">
        <v>35</v>
      </c>
      <c r="C21" s="24">
        <f>'Development by Block'!E21</f>
        <v>3</v>
      </c>
      <c r="D21" s="18"/>
      <c r="E21" s="18"/>
      <c r="F21" s="18"/>
    </row>
    <row r="22" spans="1:6" ht="12.75" customHeight="1">
      <c r="A22" s="22"/>
      <c r="B22" s="23" t="s">
        <v>36</v>
      </c>
      <c r="C22" s="24">
        <f>'Development by Block'!E22</f>
        <v>0</v>
      </c>
      <c r="D22" s="18"/>
      <c r="E22" s="18"/>
      <c r="F22" s="18"/>
    </row>
    <row r="23" spans="1:6" ht="12.75" customHeight="1">
      <c r="A23" s="28"/>
      <c r="B23" s="29" t="s">
        <v>37</v>
      </c>
      <c r="C23" s="30">
        <f>'Development by Block'!E23</f>
        <v>0</v>
      </c>
      <c r="D23" s="18"/>
      <c r="E23" s="18"/>
      <c r="F23" s="18"/>
    </row>
    <row r="24" spans="1:6" ht="12.75" customHeight="1">
      <c r="A24" s="31"/>
      <c r="B24" s="32"/>
      <c r="C24" s="33"/>
      <c r="D24" s="18"/>
      <c r="E24" s="18"/>
      <c r="F24" s="18"/>
    </row>
    <row r="25" spans="1:6" ht="12" customHeight="1">
      <c r="A25" s="19">
        <v>2</v>
      </c>
      <c r="B25" s="34" t="s">
        <v>16</v>
      </c>
      <c r="C25" s="21"/>
      <c r="D25" s="18"/>
      <c r="E25" s="18"/>
      <c r="F25" s="18"/>
    </row>
    <row r="26" spans="1:6" ht="12.75" customHeight="1">
      <c r="A26" s="22"/>
      <c r="B26" s="35" t="s">
        <v>17</v>
      </c>
      <c r="C26" s="24">
        <f>'Development by Block'!I4</f>
        <v>1</v>
      </c>
      <c r="D26" s="18"/>
      <c r="E26" s="18"/>
      <c r="F26" s="18"/>
    </row>
    <row r="27" spans="1:6" ht="12.75" customHeight="1">
      <c r="A27" s="22"/>
      <c r="B27" s="35" t="s">
        <v>18</v>
      </c>
      <c r="C27" s="24">
        <f>'Development by Block'!I5</f>
        <v>0</v>
      </c>
      <c r="D27" s="18"/>
      <c r="E27" s="18"/>
      <c r="F27" s="18"/>
    </row>
    <row r="28" spans="1:6" ht="12.75" customHeight="1">
      <c r="A28" s="22"/>
      <c r="B28" s="35" t="s">
        <v>19</v>
      </c>
      <c r="C28" s="24">
        <f>'Development by Block'!I6</f>
        <v>0</v>
      </c>
      <c r="D28" s="18"/>
      <c r="E28" s="18"/>
      <c r="F28" s="18"/>
    </row>
    <row r="29" spans="1:6" ht="12.75" customHeight="1">
      <c r="A29" s="22"/>
      <c r="B29" s="35" t="s">
        <v>20</v>
      </c>
      <c r="C29" s="24">
        <f>'Development by Block'!I7</f>
        <v>0</v>
      </c>
      <c r="D29" s="18"/>
      <c r="E29" s="18"/>
      <c r="F29" s="18"/>
    </row>
    <row r="30" spans="1:6" ht="12.75" customHeight="1">
      <c r="A30" s="22"/>
      <c r="B30" s="36" t="s">
        <v>21</v>
      </c>
      <c r="C30" s="26" t="s">
        <v>22</v>
      </c>
      <c r="D30" s="18"/>
      <c r="E30" s="18"/>
      <c r="F30" s="18"/>
    </row>
    <row r="31" spans="1:6" ht="12.75" customHeight="1">
      <c r="A31" s="22"/>
      <c r="B31" s="35" t="s">
        <v>23</v>
      </c>
      <c r="C31" s="24">
        <f>'Development by Block'!I9</f>
        <v>1</v>
      </c>
      <c r="D31" s="18"/>
      <c r="E31" s="18"/>
      <c r="F31" s="18"/>
    </row>
    <row r="32" spans="1:6" ht="12.75" customHeight="1">
      <c r="A32" s="22"/>
      <c r="B32" s="35" t="s">
        <v>24</v>
      </c>
      <c r="C32" s="24">
        <f>'Development by Block'!I10</f>
        <v>0</v>
      </c>
      <c r="D32" s="18"/>
      <c r="E32" s="18"/>
      <c r="F32" s="18"/>
    </row>
    <row r="33" spans="1:6" ht="12.75" customHeight="1">
      <c r="A33" s="22"/>
      <c r="B33" s="35" t="s">
        <v>25</v>
      </c>
      <c r="C33" s="24">
        <f>'Development by Block'!I11</f>
        <v>2</v>
      </c>
      <c r="D33" s="18"/>
      <c r="E33" s="18"/>
      <c r="F33" s="18"/>
    </row>
    <row r="34" spans="1:6" ht="12.75" customHeight="1">
      <c r="A34" s="22"/>
      <c r="B34" s="36" t="s">
        <v>26</v>
      </c>
      <c r="C34" s="26" t="s">
        <v>22</v>
      </c>
      <c r="D34" s="18"/>
      <c r="E34" s="18"/>
      <c r="F34" s="18"/>
    </row>
    <row r="35" spans="1:6" ht="12.75" customHeight="1">
      <c r="A35" s="22"/>
      <c r="B35" s="35" t="s">
        <v>27</v>
      </c>
      <c r="C35" s="24">
        <f>'Development by Block'!I13</f>
        <v>2</v>
      </c>
      <c r="D35" s="18"/>
      <c r="E35" s="18"/>
      <c r="F35" s="18"/>
    </row>
    <row r="36" spans="1:6" ht="12.75" customHeight="1">
      <c r="A36" s="22"/>
      <c r="B36" s="35" t="s">
        <v>28</v>
      </c>
      <c r="C36" s="24">
        <f>'Development by Block'!I14</f>
        <v>0</v>
      </c>
      <c r="D36" s="18"/>
      <c r="E36" s="18"/>
      <c r="F36" s="18"/>
    </row>
    <row r="37" spans="1:6" ht="12.75" customHeight="1">
      <c r="A37" s="22"/>
      <c r="B37" s="35" t="s">
        <v>29</v>
      </c>
      <c r="C37" s="24">
        <f>'Development by Block'!I15</f>
        <v>0</v>
      </c>
      <c r="D37" s="18"/>
      <c r="E37" s="18"/>
      <c r="F37" s="18"/>
    </row>
    <row r="38" spans="1:6" ht="12.75" customHeight="1">
      <c r="A38" s="22"/>
      <c r="B38" s="36" t="s">
        <v>30</v>
      </c>
      <c r="C38" s="26" t="s">
        <v>22</v>
      </c>
      <c r="D38" s="18"/>
      <c r="E38" s="18"/>
      <c r="F38" s="18"/>
    </row>
    <row r="39" spans="1:6" ht="12.75" customHeight="1">
      <c r="A39" s="22"/>
      <c r="B39" s="35" t="s">
        <v>31</v>
      </c>
      <c r="C39" s="24">
        <f>'Development by Block'!I17</f>
        <v>1</v>
      </c>
      <c r="D39" s="18"/>
      <c r="E39" s="18"/>
      <c r="F39" s="18"/>
    </row>
    <row r="40" spans="1:6" ht="12.75" customHeight="1">
      <c r="A40" s="22"/>
      <c r="B40" s="35" t="s">
        <v>32</v>
      </c>
      <c r="C40" s="27"/>
      <c r="D40" s="18"/>
      <c r="E40" s="18"/>
      <c r="F40" s="18"/>
    </row>
    <row r="41" spans="1:6" ht="12.75" customHeight="1">
      <c r="A41" s="22"/>
      <c r="B41" s="35" t="s">
        <v>33</v>
      </c>
      <c r="C41" s="27"/>
      <c r="D41" s="18"/>
      <c r="E41" s="18"/>
      <c r="F41" s="18"/>
    </row>
    <row r="42" spans="1:6" ht="12.75" customHeight="1">
      <c r="A42" s="22"/>
      <c r="B42" s="36" t="s">
        <v>34</v>
      </c>
      <c r="C42" s="26" t="s">
        <v>34</v>
      </c>
      <c r="D42" s="18"/>
      <c r="E42" s="18"/>
      <c r="F42" s="18"/>
    </row>
    <row r="43" spans="1:6" ht="12.75" customHeight="1">
      <c r="A43" s="22"/>
      <c r="B43" s="35" t="s">
        <v>35</v>
      </c>
      <c r="C43" s="24">
        <f>'Development by Block'!I21</f>
        <v>0</v>
      </c>
      <c r="D43" s="18"/>
      <c r="E43" s="18"/>
      <c r="F43" s="18"/>
    </row>
    <row r="44" spans="1:6" ht="12.75" customHeight="1">
      <c r="A44" s="22"/>
      <c r="B44" s="35" t="s">
        <v>36</v>
      </c>
      <c r="C44" s="24">
        <f>'Development by Block'!I22</f>
        <v>0</v>
      </c>
      <c r="D44" s="18"/>
      <c r="E44" s="18"/>
      <c r="F44" s="18"/>
    </row>
    <row r="45" spans="1:6" ht="12.75" customHeight="1">
      <c r="A45" s="28"/>
      <c r="B45" s="37" t="s">
        <v>37</v>
      </c>
      <c r="C45" s="30">
        <f>'Development by Block'!I23</f>
        <v>0</v>
      </c>
      <c r="D45" s="18"/>
      <c r="E45" s="18"/>
      <c r="F45" s="18"/>
    </row>
    <row r="46" spans="1:6" ht="12.75" customHeight="1">
      <c r="A46" s="31"/>
      <c r="B46" s="32"/>
      <c r="C46" s="33"/>
      <c r="D46" s="18"/>
      <c r="E46" s="18"/>
      <c r="F46" s="18"/>
    </row>
    <row r="47" spans="1:6" ht="12" customHeight="1">
      <c r="A47" s="19">
        <v>3</v>
      </c>
      <c r="B47" s="34" t="s">
        <v>16</v>
      </c>
      <c r="C47" s="21"/>
      <c r="D47" s="18"/>
      <c r="E47" s="18"/>
      <c r="F47" s="18"/>
    </row>
    <row r="48" spans="1:6" ht="12.75" customHeight="1">
      <c r="A48" s="22"/>
      <c r="B48" s="35" t="s">
        <v>17</v>
      </c>
      <c r="C48" s="24">
        <f>'Development by Block'!M4</f>
        <v>2</v>
      </c>
      <c r="D48" s="18"/>
      <c r="E48" s="18"/>
      <c r="F48" s="18"/>
    </row>
    <row r="49" spans="1:6" ht="12.75" customHeight="1">
      <c r="A49" s="22"/>
      <c r="B49" s="35" t="s">
        <v>18</v>
      </c>
      <c r="C49" s="24">
        <f>'Development by Block'!M5</f>
        <v>0</v>
      </c>
      <c r="D49" s="18"/>
      <c r="E49" s="18"/>
      <c r="F49" s="18"/>
    </row>
    <row r="50" spans="1:6" ht="12.75" customHeight="1">
      <c r="A50" s="22"/>
      <c r="B50" s="35" t="s">
        <v>19</v>
      </c>
      <c r="C50" s="24">
        <f>'Development by Block'!M6</f>
        <v>0</v>
      </c>
      <c r="D50" s="18"/>
      <c r="E50" s="18"/>
      <c r="F50" s="18"/>
    </row>
    <row r="51" spans="1:6" ht="12.75" customHeight="1">
      <c r="A51" s="22"/>
      <c r="B51" s="35" t="s">
        <v>20</v>
      </c>
      <c r="C51" s="24">
        <f>'Development by Block'!M7</f>
        <v>0</v>
      </c>
      <c r="D51" s="18"/>
      <c r="E51" s="18"/>
      <c r="F51" s="18"/>
    </row>
    <row r="52" spans="1:6" ht="12.75" customHeight="1">
      <c r="A52" s="22"/>
      <c r="B52" s="36" t="s">
        <v>21</v>
      </c>
      <c r="C52" s="26" t="s">
        <v>22</v>
      </c>
      <c r="D52" s="18"/>
      <c r="E52" s="18"/>
      <c r="F52" s="18"/>
    </row>
    <row r="53" spans="1:6" ht="12.75" customHeight="1">
      <c r="A53" s="22"/>
      <c r="B53" s="35" t="s">
        <v>23</v>
      </c>
      <c r="C53" s="24">
        <f>'Development by Block'!M9</f>
        <v>1</v>
      </c>
      <c r="D53" s="18"/>
      <c r="E53" s="18"/>
      <c r="F53" s="18"/>
    </row>
    <row r="54" spans="1:6" ht="12.75" customHeight="1">
      <c r="A54" s="22"/>
      <c r="B54" s="35" t="s">
        <v>24</v>
      </c>
      <c r="C54" s="24">
        <f>'Development by Block'!M10</f>
        <v>0</v>
      </c>
      <c r="D54" s="18"/>
      <c r="E54" s="18"/>
      <c r="F54" s="18"/>
    </row>
    <row r="55" spans="1:6" ht="12.75" customHeight="1">
      <c r="A55" s="22"/>
      <c r="B55" s="35" t="s">
        <v>25</v>
      </c>
      <c r="C55" s="24">
        <f>'Development by Block'!M11</f>
        <v>0</v>
      </c>
      <c r="D55" s="18"/>
      <c r="E55" s="18"/>
      <c r="F55" s="18"/>
    </row>
    <row r="56" spans="1:6" ht="12.75" customHeight="1">
      <c r="A56" s="22"/>
      <c r="B56" s="36" t="s">
        <v>26</v>
      </c>
      <c r="C56" s="26" t="s">
        <v>22</v>
      </c>
      <c r="D56" s="18"/>
      <c r="E56" s="18"/>
      <c r="F56" s="18"/>
    </row>
    <row r="57" spans="1:6" ht="12.75" customHeight="1">
      <c r="A57" s="22"/>
      <c r="B57" s="35" t="s">
        <v>27</v>
      </c>
      <c r="C57" s="24">
        <f>'Development by Block'!M13</f>
        <v>0</v>
      </c>
      <c r="D57" s="18"/>
      <c r="E57" s="18"/>
      <c r="F57" s="18"/>
    </row>
    <row r="58" spans="1:6" ht="12.75" customHeight="1">
      <c r="A58" s="22"/>
      <c r="B58" s="35" t="s">
        <v>28</v>
      </c>
      <c r="C58" s="24">
        <f>'Development by Block'!M14</f>
        <v>0</v>
      </c>
      <c r="D58" s="18"/>
      <c r="E58" s="18"/>
      <c r="F58" s="18"/>
    </row>
    <row r="59" spans="1:6" ht="12.75" customHeight="1">
      <c r="A59" s="22"/>
      <c r="B59" s="35" t="s">
        <v>29</v>
      </c>
      <c r="C59" s="27"/>
      <c r="D59" s="18"/>
      <c r="E59" s="18"/>
      <c r="F59" s="18"/>
    </row>
    <row r="60" spans="1:6" ht="12.75" customHeight="1">
      <c r="A60" s="22"/>
      <c r="B60" s="36" t="s">
        <v>30</v>
      </c>
      <c r="C60" s="26" t="s">
        <v>22</v>
      </c>
      <c r="D60" s="18"/>
      <c r="E60" s="18"/>
      <c r="F60" s="18"/>
    </row>
    <row r="61" spans="1:6" ht="12.75" customHeight="1">
      <c r="A61" s="22"/>
      <c r="B61" s="35" t="s">
        <v>31</v>
      </c>
      <c r="C61" s="27"/>
      <c r="D61" s="18"/>
      <c r="E61" s="18"/>
      <c r="F61" s="18"/>
    </row>
    <row r="62" spans="1:6" ht="12.75" customHeight="1">
      <c r="A62" s="22"/>
      <c r="B62" s="35" t="s">
        <v>32</v>
      </c>
      <c r="C62" s="27">
        <v>1</v>
      </c>
      <c r="D62" s="18"/>
      <c r="E62" s="18"/>
      <c r="F62" s="18"/>
    </row>
    <row r="63" spans="1:6" ht="12.75" customHeight="1">
      <c r="A63" s="22"/>
      <c r="B63" s="35" t="s">
        <v>33</v>
      </c>
      <c r="C63" s="27"/>
      <c r="D63" s="18"/>
      <c r="E63" s="18"/>
      <c r="F63" s="18"/>
    </row>
    <row r="64" spans="1:6" ht="12.75" customHeight="1">
      <c r="A64" s="22"/>
      <c r="B64" s="36" t="s">
        <v>34</v>
      </c>
      <c r="C64" s="26" t="s">
        <v>34</v>
      </c>
      <c r="D64" s="18"/>
      <c r="E64" s="18"/>
      <c r="F64" s="18"/>
    </row>
    <row r="65" spans="1:6" ht="12.75" customHeight="1">
      <c r="A65" s="22"/>
      <c r="B65" s="35" t="s">
        <v>35</v>
      </c>
      <c r="C65" s="24">
        <f>'Development by Block'!M21</f>
        <v>0</v>
      </c>
      <c r="D65" s="18"/>
      <c r="E65" s="18"/>
      <c r="F65" s="18"/>
    </row>
    <row r="66" spans="1:6" ht="12.75" customHeight="1">
      <c r="A66" s="22"/>
      <c r="B66" s="35" t="s">
        <v>36</v>
      </c>
      <c r="C66" s="24">
        <f>'Development by Block'!M22</f>
        <v>0</v>
      </c>
      <c r="D66" s="18"/>
      <c r="E66" s="18"/>
      <c r="F66" s="18"/>
    </row>
    <row r="67" spans="1:6" ht="12.75" customHeight="1">
      <c r="A67" s="28"/>
      <c r="B67" s="37" t="s">
        <v>37</v>
      </c>
      <c r="C67" s="30">
        <f>'Development by Block'!M23</f>
        <v>2</v>
      </c>
      <c r="D67" s="18"/>
      <c r="E67" s="18"/>
      <c r="F67" s="18"/>
    </row>
    <row r="68" spans="1:6" ht="12.75" customHeight="1">
      <c r="A68" s="38"/>
      <c r="B68" s="18"/>
      <c r="C68" s="18"/>
      <c r="D68" s="18"/>
      <c r="E68" s="18"/>
      <c r="F68" s="18"/>
    </row>
    <row r="69" spans="1:6" ht="12" customHeight="1">
      <c r="A69" s="19">
        <v>4</v>
      </c>
      <c r="B69" s="34" t="s">
        <v>16</v>
      </c>
      <c r="C69" s="21"/>
      <c r="D69" s="18"/>
      <c r="E69" s="18"/>
      <c r="F69" s="18"/>
    </row>
    <row r="70" spans="1:6" ht="12.75" customHeight="1">
      <c r="A70" s="22"/>
      <c r="B70" s="35" t="s">
        <v>17</v>
      </c>
      <c r="C70" s="24">
        <f>'Development by Block'!Q4</f>
        <v>4</v>
      </c>
      <c r="D70" s="18"/>
      <c r="E70" s="18"/>
      <c r="F70" s="18"/>
    </row>
    <row r="71" spans="1:6" ht="12.75" customHeight="1">
      <c r="A71" s="22"/>
      <c r="B71" s="35" t="s">
        <v>18</v>
      </c>
      <c r="C71" s="24">
        <f>'Development by Block'!Q5</f>
        <v>0</v>
      </c>
      <c r="D71" s="18"/>
      <c r="E71" s="18"/>
      <c r="F71" s="18"/>
    </row>
    <row r="72" spans="1:6" ht="12.75" customHeight="1">
      <c r="A72" s="22"/>
      <c r="B72" s="35" t="s">
        <v>19</v>
      </c>
      <c r="C72" s="24">
        <f>'Development by Block'!Q6</f>
        <v>0</v>
      </c>
      <c r="D72" s="18"/>
      <c r="E72" s="18"/>
      <c r="F72" s="18"/>
    </row>
    <row r="73" spans="1:6" ht="12.75" customHeight="1">
      <c r="A73" s="22"/>
      <c r="B73" s="35" t="s">
        <v>20</v>
      </c>
      <c r="C73" s="24">
        <f>'Development by Block'!Q7</f>
        <v>0</v>
      </c>
      <c r="D73" s="18"/>
      <c r="E73" s="18"/>
      <c r="F73" s="18"/>
    </row>
    <row r="74" spans="1:6" ht="12.75" customHeight="1">
      <c r="A74" s="22"/>
      <c r="B74" s="36" t="s">
        <v>21</v>
      </c>
      <c r="C74" s="26" t="s">
        <v>22</v>
      </c>
      <c r="D74" s="18"/>
      <c r="E74" s="18"/>
      <c r="F74" s="18"/>
    </row>
    <row r="75" spans="1:6" ht="12.75" customHeight="1">
      <c r="A75" s="22"/>
      <c r="B75" s="35" t="s">
        <v>23</v>
      </c>
      <c r="C75" s="24">
        <f>'Development by Block'!Q9</f>
        <v>0</v>
      </c>
      <c r="D75" s="18"/>
      <c r="E75" s="18"/>
      <c r="F75" s="18"/>
    </row>
    <row r="76" spans="1:6" ht="12.75" customHeight="1">
      <c r="A76" s="22"/>
      <c r="B76" s="35" t="s">
        <v>24</v>
      </c>
      <c r="C76" s="24">
        <f>'Development by Block'!Q10</f>
        <v>0</v>
      </c>
      <c r="D76" s="18"/>
      <c r="E76" s="18"/>
      <c r="F76" s="18"/>
    </row>
    <row r="77" spans="1:6" ht="12.75" customHeight="1">
      <c r="A77" s="22"/>
      <c r="B77" s="35" t="s">
        <v>25</v>
      </c>
      <c r="C77" s="24">
        <f>'Development by Block'!Q11</f>
        <v>0</v>
      </c>
      <c r="D77" s="18"/>
      <c r="E77" s="18"/>
      <c r="F77" s="18"/>
    </row>
    <row r="78" spans="1:6" ht="12.75" customHeight="1">
      <c r="A78" s="22"/>
      <c r="B78" s="36" t="s">
        <v>26</v>
      </c>
      <c r="C78" s="26" t="s">
        <v>22</v>
      </c>
      <c r="D78" s="18"/>
      <c r="E78" s="18"/>
      <c r="F78" s="18"/>
    </row>
    <row r="79" spans="1:6" ht="12.75" customHeight="1">
      <c r="A79" s="22"/>
      <c r="B79" s="35" t="s">
        <v>27</v>
      </c>
      <c r="C79" s="24">
        <f>'Development by Block'!Q13</f>
        <v>0</v>
      </c>
      <c r="D79" s="18"/>
      <c r="E79" s="18"/>
      <c r="F79" s="18"/>
    </row>
    <row r="80" spans="1:6" ht="12.75" customHeight="1">
      <c r="A80" s="22"/>
      <c r="B80" s="35" t="s">
        <v>28</v>
      </c>
      <c r="C80" s="24">
        <f>'Development by Block'!Q14</f>
        <v>0</v>
      </c>
      <c r="D80" s="18"/>
      <c r="E80" s="18"/>
      <c r="F80" s="18"/>
    </row>
    <row r="81" spans="1:6" ht="12.75" customHeight="1">
      <c r="A81" s="22"/>
      <c r="B81" s="35" t="s">
        <v>29</v>
      </c>
      <c r="C81" s="27"/>
      <c r="D81" s="18"/>
      <c r="E81" s="18"/>
      <c r="F81" s="18"/>
    </row>
    <row r="82" spans="1:6" ht="12.75" customHeight="1">
      <c r="A82" s="22"/>
      <c r="B82" s="36" t="s">
        <v>30</v>
      </c>
      <c r="C82" s="26" t="s">
        <v>22</v>
      </c>
      <c r="D82" s="18"/>
      <c r="E82" s="18"/>
      <c r="F82" s="18"/>
    </row>
    <row r="83" spans="1:6" ht="12.75" customHeight="1">
      <c r="A83" s="22"/>
      <c r="B83" s="35" t="s">
        <v>31</v>
      </c>
      <c r="C83" s="27"/>
      <c r="D83" s="18"/>
      <c r="E83" s="18"/>
      <c r="F83" s="18"/>
    </row>
    <row r="84" spans="1:6" ht="12.75" customHeight="1">
      <c r="A84" s="22"/>
      <c r="B84" s="35" t="s">
        <v>32</v>
      </c>
      <c r="C84" s="27"/>
      <c r="D84" s="18"/>
      <c r="E84" s="18"/>
      <c r="F84" s="18"/>
    </row>
    <row r="85" spans="1:6" ht="12.75" customHeight="1">
      <c r="A85" s="22"/>
      <c r="B85" s="35" t="s">
        <v>33</v>
      </c>
      <c r="C85" s="24">
        <f>'Development by Block'!Q19</f>
        <v>1</v>
      </c>
      <c r="D85" s="18"/>
      <c r="E85" s="18"/>
      <c r="F85" s="18"/>
    </row>
    <row r="86" spans="1:6" ht="12.75" customHeight="1">
      <c r="A86" s="22"/>
      <c r="B86" s="36" t="s">
        <v>34</v>
      </c>
      <c r="C86" s="26" t="s">
        <v>34</v>
      </c>
      <c r="D86" s="18"/>
      <c r="E86" s="18"/>
      <c r="F86" s="18"/>
    </row>
    <row r="87" spans="1:6" ht="12.75" customHeight="1">
      <c r="A87" s="22"/>
      <c r="B87" s="35" t="s">
        <v>35</v>
      </c>
      <c r="C87" s="24">
        <f>'Development by Block'!Q21</f>
        <v>0</v>
      </c>
      <c r="D87" s="18"/>
      <c r="E87" s="18"/>
      <c r="F87" s="18"/>
    </row>
    <row r="88" spans="1:6" ht="12.75" customHeight="1">
      <c r="A88" s="22"/>
      <c r="B88" s="35" t="s">
        <v>36</v>
      </c>
      <c r="C88" s="24">
        <f>'Development by Block'!Q22</f>
        <v>0</v>
      </c>
      <c r="D88" s="18"/>
      <c r="E88" s="18"/>
      <c r="F88" s="18"/>
    </row>
    <row r="89" spans="1:6" ht="12.75" customHeight="1">
      <c r="A89" s="28"/>
      <c r="B89" s="37" t="s">
        <v>37</v>
      </c>
      <c r="C89" s="30">
        <f>'Development by Block'!Q23</f>
        <v>0</v>
      </c>
      <c r="D89" s="18"/>
      <c r="E89" s="18"/>
      <c r="F89" s="18"/>
    </row>
    <row r="90" spans="1:6" ht="12.75" customHeight="1">
      <c r="A90" s="38"/>
      <c r="B90" s="18"/>
      <c r="C90" s="18"/>
      <c r="D90" s="18"/>
      <c r="E90" s="18"/>
      <c r="F90" s="18"/>
    </row>
    <row r="91" spans="1:6" ht="12" customHeight="1">
      <c r="A91" s="19">
        <v>5</v>
      </c>
      <c r="B91" s="34" t="s">
        <v>16</v>
      </c>
      <c r="C91" s="21"/>
      <c r="D91" s="18"/>
      <c r="E91" s="18"/>
      <c r="F91" s="18"/>
    </row>
    <row r="92" spans="1:6" ht="12.75" customHeight="1">
      <c r="A92" s="22"/>
      <c r="B92" s="35" t="s">
        <v>17</v>
      </c>
      <c r="C92" s="24">
        <f>'Development by Block'!U4</f>
        <v>0</v>
      </c>
      <c r="D92" s="18"/>
      <c r="E92" s="18"/>
      <c r="F92" s="18"/>
    </row>
    <row r="93" spans="1:6" ht="12.75" customHeight="1">
      <c r="A93" s="22"/>
      <c r="B93" s="35" t="s">
        <v>18</v>
      </c>
      <c r="C93" s="24">
        <f>'Development by Block'!U5</f>
        <v>0</v>
      </c>
      <c r="D93" s="18"/>
      <c r="E93" s="18"/>
      <c r="F93" s="18"/>
    </row>
    <row r="94" spans="1:6" ht="12.75" customHeight="1">
      <c r="A94" s="22"/>
      <c r="B94" s="35" t="s">
        <v>19</v>
      </c>
      <c r="C94" s="24">
        <f>'Development by Block'!U6</f>
        <v>1</v>
      </c>
      <c r="D94" s="18"/>
      <c r="E94" s="18"/>
      <c r="F94" s="18"/>
    </row>
    <row r="95" spans="1:6" ht="12.75" customHeight="1">
      <c r="A95" s="22"/>
      <c r="B95" s="35" t="s">
        <v>20</v>
      </c>
      <c r="C95" s="24">
        <f>'Development by Block'!U7</f>
        <v>0</v>
      </c>
      <c r="D95" s="18"/>
      <c r="E95" s="18"/>
      <c r="F95" s="18"/>
    </row>
    <row r="96" spans="1:6" ht="12.75" customHeight="1">
      <c r="A96" s="22"/>
      <c r="B96" s="36" t="s">
        <v>21</v>
      </c>
      <c r="C96" s="26" t="s">
        <v>22</v>
      </c>
      <c r="D96" s="18"/>
      <c r="E96" s="18"/>
      <c r="F96" s="18"/>
    </row>
    <row r="97" spans="1:6" ht="12.75" customHeight="1">
      <c r="A97" s="22"/>
      <c r="B97" s="35" t="s">
        <v>23</v>
      </c>
      <c r="C97" s="24">
        <f>'Development by Block'!U9</f>
        <v>0</v>
      </c>
      <c r="D97" s="18"/>
      <c r="E97" s="18"/>
      <c r="F97" s="18"/>
    </row>
    <row r="98" spans="1:6" ht="12.75" customHeight="1">
      <c r="A98" s="22"/>
      <c r="B98" s="35" t="s">
        <v>24</v>
      </c>
      <c r="C98" s="24">
        <f>'Development by Block'!U10</f>
        <v>0</v>
      </c>
      <c r="D98" s="18"/>
      <c r="E98" s="18"/>
      <c r="F98" s="18"/>
    </row>
    <row r="99" spans="1:6" ht="12.75" customHeight="1">
      <c r="A99" s="22"/>
      <c r="B99" s="35" t="s">
        <v>25</v>
      </c>
      <c r="C99" s="24">
        <f>'Development by Block'!U11</f>
        <v>0</v>
      </c>
      <c r="D99" s="18"/>
      <c r="E99" s="18"/>
      <c r="F99" s="18"/>
    </row>
    <row r="100" spans="1:6" ht="12.75" customHeight="1">
      <c r="A100" s="22"/>
      <c r="B100" s="36" t="s">
        <v>26</v>
      </c>
      <c r="C100" s="26" t="s">
        <v>22</v>
      </c>
      <c r="D100" s="18"/>
      <c r="E100" s="18"/>
      <c r="F100" s="18"/>
    </row>
    <row r="101" spans="1:6" ht="12.75" customHeight="1">
      <c r="A101" s="22"/>
      <c r="B101" s="35" t="s">
        <v>27</v>
      </c>
      <c r="C101" s="24">
        <f>'Development by Block'!U13</f>
        <v>3</v>
      </c>
      <c r="D101" s="18"/>
      <c r="E101" s="18"/>
      <c r="F101" s="18"/>
    </row>
    <row r="102" spans="1:6" ht="12.75" customHeight="1">
      <c r="A102" s="22"/>
      <c r="B102" s="35" t="s">
        <v>28</v>
      </c>
      <c r="C102" s="24">
        <f>'Development by Block'!U14</f>
        <v>0</v>
      </c>
      <c r="D102" s="18"/>
      <c r="E102" s="18"/>
      <c r="F102" s="18"/>
    </row>
    <row r="103" spans="1:6" ht="12.75" customHeight="1">
      <c r="A103" s="22"/>
      <c r="B103" s="35" t="s">
        <v>29</v>
      </c>
      <c r="C103" s="27"/>
      <c r="D103" s="18"/>
      <c r="E103" s="18"/>
      <c r="F103" s="18"/>
    </row>
    <row r="104" spans="1:6" ht="12.75" customHeight="1">
      <c r="A104" s="22"/>
      <c r="B104" s="36" t="s">
        <v>30</v>
      </c>
      <c r="C104" s="26" t="s">
        <v>22</v>
      </c>
      <c r="D104" s="18"/>
      <c r="E104" s="18"/>
      <c r="F104" s="18"/>
    </row>
    <row r="105" spans="1:6" ht="12.75" customHeight="1">
      <c r="A105" s="22"/>
      <c r="B105" s="35" t="s">
        <v>31</v>
      </c>
      <c r="C105" s="27"/>
      <c r="D105" s="18"/>
      <c r="E105" s="18"/>
      <c r="F105" s="18"/>
    </row>
    <row r="106" spans="1:6" ht="12.75" customHeight="1">
      <c r="A106" s="22"/>
      <c r="B106" s="35" t="s">
        <v>32</v>
      </c>
      <c r="C106" s="27"/>
      <c r="D106" s="18"/>
      <c r="E106" s="18"/>
      <c r="F106" s="18"/>
    </row>
    <row r="107" spans="1:6" ht="12.75" customHeight="1">
      <c r="A107" s="22"/>
      <c r="B107" s="35" t="s">
        <v>33</v>
      </c>
      <c r="C107" s="27"/>
      <c r="D107" s="18"/>
      <c r="E107" s="18"/>
      <c r="F107" s="18"/>
    </row>
    <row r="108" spans="1:6" ht="12.75" customHeight="1">
      <c r="A108" s="22"/>
      <c r="B108" s="36" t="s">
        <v>34</v>
      </c>
      <c r="C108" s="26" t="s">
        <v>34</v>
      </c>
      <c r="D108" s="18"/>
      <c r="E108" s="18"/>
      <c r="F108" s="18"/>
    </row>
    <row r="109" spans="1:6" ht="12.75" customHeight="1">
      <c r="A109" s="22"/>
      <c r="B109" s="35" t="s">
        <v>35</v>
      </c>
      <c r="C109" s="24">
        <f>'Development by Block'!U21</f>
        <v>0</v>
      </c>
      <c r="D109" s="18"/>
      <c r="E109" s="18"/>
      <c r="F109" s="18"/>
    </row>
    <row r="110" spans="1:6" ht="12.75" customHeight="1">
      <c r="A110" s="22"/>
      <c r="B110" s="35" t="s">
        <v>36</v>
      </c>
      <c r="C110" s="24">
        <f>'Development by Block'!U22</f>
        <v>2</v>
      </c>
      <c r="D110" s="18"/>
      <c r="E110" s="18"/>
      <c r="F110" s="18"/>
    </row>
    <row r="111" spans="1:6" ht="12.75" customHeight="1">
      <c r="A111" s="28"/>
      <c r="B111" s="37" t="s">
        <v>37</v>
      </c>
      <c r="C111" s="30">
        <f>'Development by Block'!U23</f>
        <v>0</v>
      </c>
      <c r="D111" s="18"/>
      <c r="E111" s="18"/>
      <c r="F111" s="18"/>
    </row>
    <row r="112" spans="1:6" ht="12.75" customHeight="1">
      <c r="A112" s="38"/>
      <c r="B112" s="18"/>
      <c r="C112" s="18"/>
      <c r="D112" s="18"/>
      <c r="E112" s="18"/>
      <c r="F112" s="18"/>
    </row>
    <row r="113" spans="1:6" ht="12" customHeight="1">
      <c r="A113" s="19">
        <v>6</v>
      </c>
      <c r="B113" s="34" t="s">
        <v>16</v>
      </c>
      <c r="C113" s="21"/>
      <c r="D113" s="18"/>
      <c r="E113" s="18"/>
      <c r="F113" s="18"/>
    </row>
    <row r="114" spans="1:6" ht="12.75" customHeight="1">
      <c r="A114" s="22"/>
      <c r="B114" s="35" t="s">
        <v>17</v>
      </c>
      <c r="C114" s="24">
        <f>'Development by Block'!Y4</f>
        <v>2</v>
      </c>
      <c r="D114" s="18"/>
      <c r="E114" s="18"/>
      <c r="F114" s="18"/>
    </row>
    <row r="115" spans="1:6" ht="12.75" customHeight="1">
      <c r="A115" s="22"/>
      <c r="B115" s="35" t="s">
        <v>18</v>
      </c>
      <c r="C115" s="24">
        <f>'Development by Block'!Y5</f>
        <v>0</v>
      </c>
      <c r="D115" s="18"/>
      <c r="E115" s="18"/>
      <c r="F115" s="18"/>
    </row>
    <row r="116" spans="1:6" ht="12.75" customHeight="1">
      <c r="A116" s="22"/>
      <c r="B116" s="35" t="s">
        <v>19</v>
      </c>
      <c r="C116" s="24">
        <f>'Development by Block'!Y6</f>
        <v>0</v>
      </c>
      <c r="D116" s="18"/>
      <c r="E116" s="18"/>
      <c r="F116" s="18"/>
    </row>
    <row r="117" spans="1:6" ht="12.75" customHeight="1">
      <c r="A117" s="22"/>
      <c r="B117" s="35" t="s">
        <v>20</v>
      </c>
      <c r="C117" s="24">
        <f>'Development by Block'!Y7</f>
        <v>1</v>
      </c>
      <c r="D117" s="18"/>
      <c r="E117" s="18"/>
      <c r="F117" s="18"/>
    </row>
    <row r="118" spans="1:6" ht="12.75" customHeight="1">
      <c r="A118" s="22"/>
      <c r="B118" s="36" t="s">
        <v>21</v>
      </c>
      <c r="C118" s="26" t="s">
        <v>22</v>
      </c>
      <c r="D118" s="18"/>
      <c r="E118" s="18"/>
      <c r="F118" s="18"/>
    </row>
    <row r="119" spans="1:6" ht="12.75" customHeight="1">
      <c r="A119" s="22"/>
      <c r="B119" s="35" t="s">
        <v>23</v>
      </c>
      <c r="C119" s="24">
        <f>'Development by Block'!Y9</f>
        <v>0</v>
      </c>
      <c r="D119" s="18"/>
      <c r="E119" s="18"/>
      <c r="F119" s="18"/>
    </row>
    <row r="120" spans="1:6" ht="12.75" customHeight="1">
      <c r="A120" s="22"/>
      <c r="B120" s="35" t="s">
        <v>24</v>
      </c>
      <c r="C120" s="24">
        <f>'Development by Block'!Y10</f>
        <v>0</v>
      </c>
      <c r="D120" s="18"/>
      <c r="E120" s="18"/>
      <c r="F120" s="18"/>
    </row>
    <row r="121" spans="1:6" ht="12.75" customHeight="1">
      <c r="A121" s="22"/>
      <c r="B121" s="35" t="s">
        <v>25</v>
      </c>
      <c r="C121" s="24">
        <f>'Development by Block'!Y11</f>
        <v>0</v>
      </c>
      <c r="D121" s="18"/>
      <c r="E121" s="18"/>
      <c r="F121" s="18"/>
    </row>
    <row r="122" spans="1:6" ht="12.75" customHeight="1">
      <c r="A122" s="22"/>
      <c r="B122" s="36" t="s">
        <v>26</v>
      </c>
      <c r="C122" s="26" t="s">
        <v>22</v>
      </c>
      <c r="D122" s="18"/>
      <c r="E122" s="18"/>
      <c r="F122" s="18"/>
    </row>
    <row r="123" spans="1:6" ht="12.75" customHeight="1">
      <c r="A123" s="22"/>
      <c r="B123" s="35" t="s">
        <v>27</v>
      </c>
      <c r="C123" s="24">
        <f>'Development by Block'!Y13</f>
        <v>0</v>
      </c>
      <c r="D123" s="18"/>
      <c r="E123" s="18"/>
      <c r="F123" s="18"/>
    </row>
    <row r="124" spans="1:6" ht="12.75" customHeight="1">
      <c r="A124" s="22"/>
      <c r="B124" s="35" t="s">
        <v>28</v>
      </c>
      <c r="C124" s="24">
        <f>'Development by Block'!Y14</f>
        <v>0</v>
      </c>
      <c r="D124" s="18"/>
      <c r="E124" s="18"/>
      <c r="F124" s="18"/>
    </row>
    <row r="125" spans="1:6" ht="12.75" customHeight="1">
      <c r="A125" s="22"/>
      <c r="B125" s="35" t="s">
        <v>29</v>
      </c>
      <c r="C125" s="27"/>
      <c r="D125" s="18"/>
      <c r="E125" s="18"/>
      <c r="F125" s="18"/>
    </row>
    <row r="126" spans="1:6" ht="12.75" customHeight="1">
      <c r="A126" s="22"/>
      <c r="B126" s="36" t="s">
        <v>30</v>
      </c>
      <c r="C126" s="26" t="s">
        <v>22</v>
      </c>
      <c r="D126" s="18"/>
      <c r="E126" s="18"/>
      <c r="F126" s="18"/>
    </row>
    <row r="127" spans="1:6" ht="12.75" customHeight="1">
      <c r="A127" s="22"/>
      <c r="B127" s="35" t="s">
        <v>31</v>
      </c>
      <c r="C127" s="27"/>
      <c r="D127" s="18"/>
      <c r="E127" s="18"/>
      <c r="F127" s="18"/>
    </row>
    <row r="128" spans="1:6" ht="12.75" customHeight="1">
      <c r="A128" s="22"/>
      <c r="B128" s="35" t="s">
        <v>32</v>
      </c>
      <c r="C128" s="27"/>
      <c r="D128" s="18"/>
      <c r="E128" s="18"/>
      <c r="F128" s="18"/>
    </row>
    <row r="129" spans="1:6" ht="12.75" customHeight="1">
      <c r="A129" s="22"/>
      <c r="B129" s="35" t="s">
        <v>33</v>
      </c>
      <c r="C129" s="27"/>
      <c r="D129" s="18"/>
      <c r="E129" s="18"/>
      <c r="F129" s="18"/>
    </row>
    <row r="130" spans="1:6" ht="12.75" customHeight="1">
      <c r="A130" s="22"/>
      <c r="B130" s="36" t="s">
        <v>34</v>
      </c>
      <c r="C130" s="26" t="s">
        <v>34</v>
      </c>
      <c r="D130" s="18"/>
      <c r="E130" s="18"/>
      <c r="F130" s="18"/>
    </row>
    <row r="131" spans="1:6" ht="12.75" customHeight="1">
      <c r="A131" s="22"/>
      <c r="B131" s="35" t="s">
        <v>35</v>
      </c>
      <c r="C131" s="24">
        <f>'Development by Block'!Y21</f>
        <v>0</v>
      </c>
      <c r="D131" s="18"/>
      <c r="E131" s="18"/>
      <c r="F131" s="18"/>
    </row>
    <row r="132" spans="1:6" ht="12.75" customHeight="1">
      <c r="A132" s="22"/>
      <c r="B132" s="35" t="s">
        <v>36</v>
      </c>
      <c r="C132" s="24">
        <f>'Development by Block'!Y22</f>
        <v>0</v>
      </c>
      <c r="D132" s="18"/>
      <c r="E132" s="18"/>
      <c r="F132" s="18"/>
    </row>
    <row r="133" spans="1:6" ht="12.75" customHeight="1">
      <c r="A133" s="28"/>
      <c r="B133" s="37" t="s">
        <v>37</v>
      </c>
      <c r="C133" s="30">
        <f>'Development by Block'!Y23</f>
        <v>0</v>
      </c>
      <c r="D133" s="18"/>
      <c r="E133" s="18"/>
      <c r="F133" s="18"/>
    </row>
    <row r="134" spans="1:6" ht="12.75" customHeight="1">
      <c r="A134" s="38"/>
      <c r="B134" s="18"/>
      <c r="C134" s="18"/>
      <c r="D134" s="18"/>
      <c r="E134" s="18"/>
      <c r="F134" s="18"/>
    </row>
    <row r="135" spans="1:6" ht="12" customHeight="1">
      <c r="A135" s="38"/>
      <c r="B135" s="39" t="s">
        <v>38</v>
      </c>
      <c r="C135" s="40"/>
      <c r="D135" s="18"/>
      <c r="E135" s="18"/>
      <c r="F135" s="18"/>
    </row>
    <row r="136" spans="1:6" ht="12" customHeight="1">
      <c r="A136" s="38"/>
      <c r="B136" s="41" t="s">
        <v>16</v>
      </c>
      <c r="C136" s="42"/>
      <c r="D136" s="18"/>
      <c r="E136" s="18"/>
      <c r="F136" s="18"/>
    </row>
    <row r="137" spans="1:6" ht="13.5" customHeight="1">
      <c r="A137" s="38"/>
      <c r="B137" s="43" t="s">
        <v>39</v>
      </c>
      <c r="C137" s="44">
        <f>'Use Allocation'!C5</f>
        <v>0</v>
      </c>
      <c r="D137" s="18"/>
      <c r="E137" s="18"/>
      <c r="F137" s="18"/>
    </row>
    <row r="138" spans="1:6" ht="13.5" customHeight="1">
      <c r="A138" s="38"/>
      <c r="B138" s="43" t="s">
        <v>40</v>
      </c>
      <c r="C138" s="44">
        <f>'Use Allocation'!C6</f>
        <v>0</v>
      </c>
      <c r="D138" s="18"/>
      <c r="E138" s="18"/>
      <c r="F138" s="18"/>
    </row>
    <row r="139" spans="1:6" ht="12" customHeight="1">
      <c r="A139" s="38"/>
      <c r="B139" s="45"/>
      <c r="C139" s="46"/>
      <c r="D139" s="18"/>
      <c r="E139" s="18"/>
      <c r="F139" s="18"/>
    </row>
    <row r="140" spans="1:6" ht="12" customHeight="1">
      <c r="A140" s="38"/>
      <c r="B140" s="47"/>
      <c r="C140" s="48"/>
      <c r="D140" s="18"/>
      <c r="E140" s="18"/>
      <c r="F140" s="18"/>
    </row>
    <row r="141" spans="1:6" ht="12" customHeight="1">
      <c r="A141" s="38"/>
      <c r="B141" s="49" t="s">
        <v>41</v>
      </c>
      <c r="C141" s="48"/>
      <c r="D141" s="18"/>
      <c r="E141" s="18"/>
      <c r="F141" s="18"/>
    </row>
    <row r="142" spans="1:6" ht="12" customHeight="1">
      <c r="A142" s="38"/>
      <c r="B142" s="50" t="s">
        <v>42</v>
      </c>
      <c r="C142" s="51"/>
      <c r="D142" s="18"/>
      <c r="E142" s="18"/>
      <c r="F142" s="18"/>
    </row>
    <row r="143" spans="1:6" ht="13.5" customHeight="1">
      <c r="A143" s="38"/>
      <c r="B143" s="52" t="s">
        <v>21</v>
      </c>
      <c r="C143" s="24">
        <f>'Use Allocation'!B14</f>
        <v>0</v>
      </c>
      <c r="D143" s="18"/>
      <c r="E143" s="18"/>
      <c r="F143" s="18"/>
    </row>
    <row r="144" spans="1:6" ht="13.5" customHeight="1">
      <c r="A144" s="38"/>
      <c r="B144" s="52" t="s">
        <v>26</v>
      </c>
      <c r="C144" s="24">
        <f>'Use Allocation'!C14</f>
        <v>0</v>
      </c>
      <c r="D144" s="18"/>
      <c r="E144" s="18"/>
      <c r="F144" s="18"/>
    </row>
    <row r="145" spans="1:6" ht="12" customHeight="1">
      <c r="A145" s="38"/>
      <c r="B145" s="53" t="s">
        <v>43</v>
      </c>
      <c r="C145" s="51"/>
      <c r="D145" s="18"/>
      <c r="E145" s="18"/>
      <c r="F145" s="18"/>
    </row>
    <row r="146" spans="1:6" ht="12" customHeight="1">
      <c r="A146" s="38"/>
      <c r="B146" s="47"/>
      <c r="C146" s="48"/>
      <c r="D146" s="18"/>
      <c r="E146" s="18"/>
      <c r="F146" s="18"/>
    </row>
    <row r="147" spans="1:6" ht="12" customHeight="1">
      <c r="A147" s="38"/>
      <c r="B147" s="50" t="s">
        <v>44</v>
      </c>
      <c r="C147" s="51"/>
      <c r="D147" s="18"/>
      <c r="E147" s="18"/>
      <c r="F147" s="18"/>
    </row>
    <row r="148" spans="1:6" ht="13.5" customHeight="1">
      <c r="A148" s="38"/>
      <c r="B148" s="54" t="s">
        <v>45</v>
      </c>
      <c r="C148" s="24">
        <f>'Use Allocation'!C24</f>
        <v>12000</v>
      </c>
      <c r="D148" s="18"/>
      <c r="E148" s="18"/>
      <c r="F148" s="18"/>
    </row>
    <row r="149" spans="1:6" ht="13.5" customHeight="1">
      <c r="A149" s="38"/>
      <c r="B149" s="43" t="s">
        <v>46</v>
      </c>
      <c r="C149" s="55">
        <f>'Use Allocation'!C25</f>
        <v>0</v>
      </c>
      <c r="D149" s="18"/>
      <c r="E149" s="18"/>
      <c r="F149" s="18"/>
    </row>
    <row r="150" spans="1:6" ht="13.5" customHeight="1">
      <c r="A150" s="38"/>
      <c r="B150" s="43" t="s">
        <v>47</v>
      </c>
      <c r="C150" s="55">
        <f>'Use Allocation'!C26</f>
        <v>0</v>
      </c>
      <c r="D150" s="18"/>
      <c r="E150" s="18"/>
      <c r="F150" s="18"/>
    </row>
    <row r="151" spans="1:6" ht="13.5" customHeight="1">
      <c r="A151" s="38"/>
      <c r="B151" s="43" t="s">
        <v>48</v>
      </c>
      <c r="C151" s="55">
        <f>'Use Allocation'!C27</f>
        <v>0</v>
      </c>
      <c r="D151" s="18"/>
      <c r="E151" s="18"/>
      <c r="F151" s="18"/>
    </row>
    <row r="152" spans="1:6" ht="13.5" customHeight="1">
      <c r="A152" s="38"/>
      <c r="B152" s="43" t="s">
        <v>49</v>
      </c>
      <c r="C152" s="55">
        <f>'Use Allocation'!C28</f>
        <v>0</v>
      </c>
      <c r="D152" s="18"/>
      <c r="E152" s="18"/>
      <c r="F152" s="18"/>
    </row>
    <row r="153" spans="1:6" ht="13.5" customHeight="1">
      <c r="A153" s="38"/>
      <c r="B153" s="43" t="s">
        <v>50</v>
      </c>
      <c r="C153" s="55">
        <f>'Use Allocation'!C29</f>
        <v>0</v>
      </c>
      <c r="D153" s="18"/>
      <c r="E153" s="18"/>
      <c r="F153" s="18"/>
    </row>
    <row r="154" spans="1:6" ht="13.5" customHeight="1">
      <c r="A154" s="38"/>
      <c r="B154" s="43" t="s">
        <v>51</v>
      </c>
      <c r="C154" s="55">
        <f>'Use Allocation'!C30</f>
        <v>0</v>
      </c>
      <c r="D154" s="18"/>
      <c r="E154" s="18"/>
      <c r="F154" s="18"/>
    </row>
    <row r="155" spans="1:6" ht="13.5" customHeight="1">
      <c r="A155" s="38"/>
      <c r="B155" s="43" t="s">
        <v>52</v>
      </c>
      <c r="C155" s="55">
        <f>'Use Allocation'!C31</f>
        <v>0</v>
      </c>
      <c r="D155" s="18"/>
      <c r="E155" s="18"/>
      <c r="F155" s="18"/>
    </row>
    <row r="156" spans="1:6" ht="13.5" customHeight="1">
      <c r="A156" s="38"/>
      <c r="B156" s="43" t="s">
        <v>53</v>
      </c>
      <c r="C156" s="55">
        <f>'Use Allocation'!C32</f>
        <v>0</v>
      </c>
      <c r="D156" s="18"/>
      <c r="E156" s="18"/>
      <c r="F156" s="18"/>
    </row>
    <row r="157" spans="1:6" ht="13.5" customHeight="1">
      <c r="A157" s="38"/>
      <c r="B157" s="43" t="s">
        <v>54</v>
      </c>
      <c r="C157" s="55">
        <f>'Use Allocation'!C33</f>
        <v>0</v>
      </c>
      <c r="D157" s="18"/>
      <c r="E157" s="18"/>
      <c r="F157" s="18"/>
    </row>
    <row r="158" spans="1:6" ht="13.5" customHeight="1">
      <c r="A158" s="38"/>
      <c r="B158" s="43" t="s">
        <v>55</v>
      </c>
      <c r="C158" s="55">
        <f>'Use Allocation'!C34</f>
        <v>0</v>
      </c>
      <c r="D158" s="18"/>
      <c r="E158" s="18"/>
      <c r="F158" s="18"/>
    </row>
    <row r="159" spans="1:6" ht="13.5" customHeight="1">
      <c r="A159" s="38"/>
      <c r="B159" s="43" t="s">
        <v>56</v>
      </c>
      <c r="C159" s="55">
        <f>'Use Allocation'!C35</f>
        <v>0</v>
      </c>
      <c r="D159" s="18"/>
      <c r="E159" s="18"/>
      <c r="F159" s="18"/>
    </row>
    <row r="160" spans="1:6" ht="13.5" customHeight="1">
      <c r="A160" s="38"/>
      <c r="B160" s="43" t="s">
        <v>57</v>
      </c>
      <c r="C160" s="55">
        <f>'Use Allocation'!C36</f>
        <v>0</v>
      </c>
      <c r="D160" s="18"/>
      <c r="E160" s="18"/>
      <c r="F160" s="18"/>
    </row>
    <row r="161" spans="1:6" ht="13.5" customHeight="1">
      <c r="A161" s="38"/>
      <c r="B161" s="43" t="s">
        <v>58</v>
      </c>
      <c r="C161" s="55">
        <f>'Use Allocation'!C37</f>
        <v>0</v>
      </c>
      <c r="D161" s="18"/>
      <c r="E161" s="18"/>
      <c r="F161" s="18"/>
    </row>
    <row r="162" spans="1:6" ht="13.5" customHeight="1">
      <c r="A162" s="38"/>
      <c r="B162" s="43" t="s">
        <v>59</v>
      </c>
      <c r="C162" s="24">
        <f>'Use Allocation'!B38</f>
        <v>16500</v>
      </c>
      <c r="D162" s="18"/>
      <c r="E162" s="18"/>
      <c r="F162" s="18"/>
    </row>
    <row r="163" spans="1:6" ht="12" customHeight="1">
      <c r="A163" s="38"/>
      <c r="B163" s="53" t="s">
        <v>43</v>
      </c>
      <c r="C163" s="56"/>
      <c r="D163" s="18"/>
      <c r="E163" s="18"/>
      <c r="F163" s="18"/>
    </row>
    <row r="164" spans="1:6" ht="12.75" customHeight="1">
      <c r="A164" s="38"/>
      <c r="B164" s="57"/>
      <c r="C164" s="51"/>
      <c r="D164" s="18"/>
      <c r="E164" s="18"/>
      <c r="F164" s="18"/>
    </row>
    <row r="165" spans="1:6" ht="12" customHeight="1">
      <c r="A165" s="38"/>
      <c r="B165" s="58" t="s">
        <v>60</v>
      </c>
      <c r="C165" s="56"/>
      <c r="D165" s="18"/>
      <c r="E165" s="18"/>
      <c r="F165" s="18"/>
    </row>
    <row r="166" spans="1:6" ht="13.5" customHeight="1">
      <c r="A166" s="38"/>
      <c r="B166" s="43" t="s">
        <v>61</v>
      </c>
      <c r="C166" s="59" t="e">
        <f>'Use Allocation'!#REF!</f>
        <v>#REF!</v>
      </c>
      <c r="D166" s="18"/>
      <c r="E166" s="18"/>
      <c r="F166" s="18"/>
    </row>
    <row r="167" spans="1:6" ht="13.5" customHeight="1">
      <c r="A167" s="38"/>
      <c r="B167" s="43" t="s">
        <v>57</v>
      </c>
      <c r="C167" s="24" t="e">
        <f>'Use Allocation'!#REF!</f>
        <v>#REF!</v>
      </c>
      <c r="D167" s="18"/>
      <c r="E167" s="18"/>
      <c r="F167" s="18"/>
    </row>
    <row r="168" spans="1:6" ht="13.5" customHeight="1">
      <c r="A168" s="38"/>
      <c r="B168" s="43" t="s">
        <v>62</v>
      </c>
      <c r="C168" s="24" t="e">
        <f>'Use Allocation'!#REF!</f>
        <v>#REF!</v>
      </c>
      <c r="D168" s="18"/>
      <c r="E168" s="18"/>
      <c r="F168" s="18"/>
    </row>
    <row r="169" spans="1:6" ht="13.5" customHeight="1">
      <c r="A169" s="38"/>
      <c r="B169" s="43" t="s">
        <v>59</v>
      </c>
      <c r="C169" s="24" t="e">
        <f>'Use Allocation'!#REF!</f>
        <v>#REF!</v>
      </c>
      <c r="D169" s="18"/>
      <c r="E169" s="18"/>
      <c r="F169" s="18"/>
    </row>
    <row r="170" spans="1:6" ht="12.75" customHeight="1">
      <c r="A170" s="38"/>
      <c r="B170" s="60" t="s">
        <v>43</v>
      </c>
      <c r="C170" s="61"/>
      <c r="D170" s="18"/>
      <c r="E170" s="18"/>
      <c r="F170" s="18"/>
    </row>
    <row r="171" spans="1:6" ht="12" customHeight="1">
      <c r="A171" s="38"/>
      <c r="B171" s="18"/>
      <c r="C171" s="18"/>
      <c r="D171" s="18"/>
      <c r="E171" s="18"/>
      <c r="F171" s="18"/>
    </row>
    <row r="172" spans="1:6" ht="12" customHeight="1">
      <c r="A172" s="38"/>
      <c r="B172" s="18"/>
      <c r="C172" s="18"/>
      <c r="D172" s="18"/>
      <c r="E172" s="18"/>
      <c r="F172" s="18"/>
    </row>
    <row r="173" spans="1:6" ht="12" customHeight="1">
      <c r="A173" s="62">
        <v>1</v>
      </c>
      <c r="B173" s="63" t="s">
        <v>63</v>
      </c>
      <c r="C173" s="64" t="str">
        <f>'Development by Block'!$G$34</f>
        <v>Fully Built Out</v>
      </c>
      <c r="D173" s="18"/>
      <c r="E173" s="18"/>
      <c r="F173" s="18"/>
    </row>
    <row r="174" spans="1:6" ht="12.75" customHeight="1">
      <c r="A174" s="65">
        <v>2</v>
      </c>
      <c r="B174" s="63" t="s">
        <v>63</v>
      </c>
      <c r="C174" s="66">
        <f>'Development by Block'!$K$32</f>
        <v>120000</v>
      </c>
      <c r="D174" s="18"/>
      <c r="E174" s="18"/>
      <c r="F174" s="18"/>
    </row>
    <row r="175" spans="1:6" ht="13.5" customHeight="1">
      <c r="A175" s="65">
        <v>3</v>
      </c>
      <c r="B175" s="63" t="s">
        <v>63</v>
      </c>
      <c r="C175" s="66">
        <f>'Development by Block'!$O$32</f>
        <v>80000</v>
      </c>
      <c r="D175" s="18"/>
      <c r="E175" s="18"/>
      <c r="F175" s="18"/>
    </row>
    <row r="176" spans="1:6" ht="13.5" customHeight="1">
      <c r="A176" s="65">
        <v>4</v>
      </c>
      <c r="B176" s="63" t="s">
        <v>63</v>
      </c>
      <c r="C176" s="66">
        <f>'Development by Block'!$S$32</f>
        <v>80000</v>
      </c>
      <c r="D176" s="18"/>
      <c r="E176" s="18"/>
      <c r="F176" s="18"/>
    </row>
    <row r="177" spans="1:6" ht="13.5" customHeight="1">
      <c r="A177" s="65">
        <v>5</v>
      </c>
      <c r="B177" s="63" t="s">
        <v>63</v>
      </c>
      <c r="C177" s="66">
        <f>'Development by Block'!$W$32</f>
        <v>60000</v>
      </c>
      <c r="D177" s="18"/>
      <c r="E177" s="18"/>
      <c r="F177" s="18"/>
    </row>
    <row r="178" spans="1:6" ht="13.5" customHeight="1">
      <c r="A178" s="67">
        <v>6</v>
      </c>
      <c r="B178" s="63" t="s">
        <v>63</v>
      </c>
      <c r="C178" s="66">
        <f>'Development by Block'!$AA$32</f>
        <v>40000</v>
      </c>
      <c r="D178" s="18"/>
      <c r="E178" s="18"/>
      <c r="F178" s="18"/>
    </row>
    <row r="179" spans="1:6" ht="12" customHeight="1">
      <c r="A179" s="68"/>
      <c r="B179" s="18"/>
      <c r="C179" s="18"/>
      <c r="D179" s="18"/>
      <c r="E179" s="18"/>
      <c r="F179" s="18"/>
    </row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</sheetPr>
  <dimension ref="A1:AH1000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4.42578125" defaultRowHeight="15" customHeight="1"/>
  <cols>
    <col min="1" max="1" width="41.7109375" customWidth="1"/>
    <col min="2" max="2" width="68.42578125" customWidth="1"/>
    <col min="3" max="3" width="9.42578125" hidden="1" customWidth="1"/>
    <col min="4" max="4" width="10.7109375" hidden="1" customWidth="1"/>
    <col min="5" max="5" width="14.42578125" customWidth="1"/>
    <col min="6" max="6" width="14.140625" customWidth="1"/>
    <col min="7" max="29" width="14.42578125" customWidth="1"/>
    <col min="30" max="30" width="13.42578125" customWidth="1"/>
    <col min="31" max="31" width="2.7109375" customWidth="1"/>
    <col min="32" max="34" width="13.42578125" hidden="1" customWidth="1"/>
  </cols>
  <sheetData>
    <row r="1" spans="1:34" ht="14.25" customHeight="1">
      <c r="A1" s="69" t="s">
        <v>64</v>
      </c>
      <c r="B1" s="70"/>
      <c r="C1" s="71"/>
      <c r="D1" s="71"/>
      <c r="E1" s="71"/>
      <c r="F1" s="7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.75" customHeight="1">
      <c r="A2" s="72" t="s">
        <v>65</v>
      </c>
      <c r="B2" s="72" t="s">
        <v>66</v>
      </c>
      <c r="C2" s="73" t="s">
        <v>67</v>
      </c>
      <c r="D2" s="73" t="s">
        <v>68</v>
      </c>
      <c r="E2" s="699" t="s">
        <v>69</v>
      </c>
      <c r="F2" s="700"/>
      <c r="G2" s="700"/>
      <c r="H2" s="701"/>
      <c r="I2" s="699" t="s">
        <v>70</v>
      </c>
      <c r="J2" s="700"/>
      <c r="K2" s="700"/>
      <c r="L2" s="701"/>
      <c r="M2" s="699" t="s">
        <v>71</v>
      </c>
      <c r="N2" s="700"/>
      <c r="O2" s="700"/>
      <c r="P2" s="701"/>
      <c r="Q2" s="699" t="s">
        <v>72</v>
      </c>
      <c r="R2" s="700"/>
      <c r="S2" s="700"/>
      <c r="T2" s="701"/>
      <c r="U2" s="699" t="s">
        <v>73</v>
      </c>
      <c r="V2" s="700"/>
      <c r="W2" s="700"/>
      <c r="X2" s="702"/>
      <c r="Y2" s="703" t="s">
        <v>74</v>
      </c>
      <c r="Z2" s="700"/>
      <c r="AA2" s="700"/>
      <c r="AB2" s="701"/>
      <c r="AC2" s="74" t="s">
        <v>75</v>
      </c>
      <c r="AD2" s="75" t="s">
        <v>76</v>
      </c>
      <c r="AE2" s="76"/>
      <c r="AF2" s="76"/>
      <c r="AG2" s="76"/>
      <c r="AH2" s="76"/>
    </row>
    <row r="3" spans="1:34" ht="15.75" customHeight="1">
      <c r="A3" s="77" t="s">
        <v>16</v>
      </c>
      <c r="B3" s="78"/>
      <c r="C3" s="79" t="s">
        <v>77</v>
      </c>
      <c r="D3" s="79" t="s">
        <v>78</v>
      </c>
      <c r="E3" s="80" t="s">
        <v>22</v>
      </c>
      <c r="F3" s="81" t="s">
        <v>79</v>
      </c>
      <c r="G3" s="82" t="s">
        <v>80</v>
      </c>
      <c r="H3" s="83" t="s">
        <v>81</v>
      </c>
      <c r="I3" s="84" t="s">
        <v>22</v>
      </c>
      <c r="J3" s="85" t="s">
        <v>79</v>
      </c>
      <c r="K3" s="86" t="s">
        <v>80</v>
      </c>
      <c r="L3" s="87" t="s">
        <v>81</v>
      </c>
      <c r="M3" s="88" t="s">
        <v>22</v>
      </c>
      <c r="N3" s="89" t="s">
        <v>79</v>
      </c>
      <c r="O3" s="90" t="s">
        <v>80</v>
      </c>
      <c r="P3" s="91" t="s">
        <v>81</v>
      </c>
      <c r="Q3" s="92" t="s">
        <v>22</v>
      </c>
      <c r="R3" s="93" t="s">
        <v>79</v>
      </c>
      <c r="S3" s="94" t="s">
        <v>80</v>
      </c>
      <c r="T3" s="95" t="s">
        <v>81</v>
      </c>
      <c r="U3" s="96" t="s">
        <v>22</v>
      </c>
      <c r="V3" s="97" t="s">
        <v>79</v>
      </c>
      <c r="W3" s="98" t="s">
        <v>80</v>
      </c>
      <c r="X3" s="99" t="s">
        <v>81</v>
      </c>
      <c r="Y3" s="100" t="s">
        <v>22</v>
      </c>
      <c r="Z3" s="101" t="s">
        <v>79</v>
      </c>
      <c r="AA3" s="102" t="s">
        <v>80</v>
      </c>
      <c r="AB3" s="103" t="s">
        <v>81</v>
      </c>
      <c r="AC3" s="104" t="s">
        <v>79</v>
      </c>
      <c r="AD3" s="105"/>
      <c r="AE3" s="106"/>
      <c r="AF3" s="106"/>
      <c r="AG3" s="106"/>
      <c r="AH3" s="106"/>
    </row>
    <row r="4" spans="1:34" ht="15.75" customHeight="1">
      <c r="A4" s="107" t="s">
        <v>17</v>
      </c>
      <c r="B4" s="108" t="s">
        <v>82</v>
      </c>
      <c r="C4" s="109">
        <v>10000</v>
      </c>
      <c r="D4" s="109">
        <v>20</v>
      </c>
      <c r="E4" s="110">
        <v>2</v>
      </c>
      <c r="F4" s="111">
        <f t="shared" ref="F4:F7" si="0">E4*$D4</f>
        <v>40</v>
      </c>
      <c r="G4" s="112">
        <f>(F4/20)*10000</f>
        <v>20000</v>
      </c>
      <c r="H4" s="113">
        <f>F4*1.5</f>
        <v>60</v>
      </c>
      <c r="I4" s="110">
        <v>1</v>
      </c>
      <c r="J4" s="114">
        <f t="shared" ref="J4:J7" si="1">I4*$D4</f>
        <v>20</v>
      </c>
      <c r="K4" s="115">
        <f>(J4/20)*10000</f>
        <v>10000</v>
      </c>
      <c r="L4" s="116">
        <f>J4*1.5</f>
        <v>30</v>
      </c>
      <c r="M4" s="110">
        <v>2</v>
      </c>
      <c r="N4" s="117">
        <f t="shared" ref="N4:N7" si="2">M4*$D4</f>
        <v>40</v>
      </c>
      <c r="O4" s="118">
        <f>(N4/20)*10000</f>
        <v>20000</v>
      </c>
      <c r="P4" s="119">
        <f>N4*1.5</f>
        <v>60</v>
      </c>
      <c r="Q4" s="120">
        <v>4</v>
      </c>
      <c r="R4" s="121">
        <f t="shared" ref="R4:R7" si="3">Q4*$D4</f>
        <v>80</v>
      </c>
      <c r="S4" s="122">
        <f>(R4/20)*10000</f>
        <v>40000</v>
      </c>
      <c r="T4" s="123">
        <f>R4*1.5</f>
        <v>120</v>
      </c>
      <c r="U4" s="110">
        <v>0</v>
      </c>
      <c r="V4" s="124">
        <f t="shared" ref="V4:V7" si="4">U4*$D4</f>
        <v>0</v>
      </c>
      <c r="W4" s="125">
        <f>(V4/20)*10000</f>
        <v>0</v>
      </c>
      <c r="X4" s="126">
        <f>V4*1.5</f>
        <v>0</v>
      </c>
      <c r="Y4" s="110">
        <v>2</v>
      </c>
      <c r="Z4" s="127">
        <f t="shared" ref="Z4:Z7" si="5">Y4*$D4</f>
        <v>40</v>
      </c>
      <c r="AA4" s="128">
        <f>(Z4/20)*10000</f>
        <v>20000</v>
      </c>
      <c r="AB4" s="129">
        <f>Z4*1.5</f>
        <v>60</v>
      </c>
      <c r="AC4" s="130">
        <f t="shared" ref="AC4:AD4" si="6">F4+J4+N4+R4+V4+Z4</f>
        <v>220</v>
      </c>
      <c r="AD4" s="131">
        <f t="shared" si="6"/>
        <v>110000</v>
      </c>
      <c r="AE4" s="132"/>
      <c r="AF4" s="133">
        <v>0</v>
      </c>
      <c r="AG4" s="133">
        <v>0</v>
      </c>
      <c r="AH4" s="133">
        <v>0</v>
      </c>
    </row>
    <row r="5" spans="1:34" ht="15.75" customHeight="1">
      <c r="A5" s="107" t="s">
        <v>18</v>
      </c>
      <c r="B5" s="108" t="s">
        <v>83</v>
      </c>
      <c r="C5" s="109">
        <v>10000</v>
      </c>
      <c r="D5" s="109">
        <v>6</v>
      </c>
      <c r="E5" s="110">
        <v>0</v>
      </c>
      <c r="F5" s="134">
        <f t="shared" si="0"/>
        <v>0</v>
      </c>
      <c r="G5" s="112">
        <f>(F5/6)*10000</f>
        <v>0</v>
      </c>
      <c r="H5" s="113">
        <f t="shared" ref="H5:H6" si="7">F5*2</f>
        <v>0</v>
      </c>
      <c r="I5" s="110">
        <v>0</v>
      </c>
      <c r="J5" s="135">
        <f t="shared" si="1"/>
        <v>0</v>
      </c>
      <c r="K5" s="115">
        <f>(J5/6)*10000</f>
        <v>0</v>
      </c>
      <c r="L5" s="116">
        <f t="shared" ref="L5:L6" si="8">J5*2</f>
        <v>0</v>
      </c>
      <c r="M5" s="110">
        <v>0</v>
      </c>
      <c r="N5" s="136">
        <f t="shared" si="2"/>
        <v>0</v>
      </c>
      <c r="O5" s="118">
        <f>(N5/6)*10000</f>
        <v>0</v>
      </c>
      <c r="P5" s="119">
        <f t="shared" ref="P5:P6" si="9">N5*2</f>
        <v>0</v>
      </c>
      <c r="Q5" s="120">
        <v>0</v>
      </c>
      <c r="R5" s="137">
        <f t="shared" si="3"/>
        <v>0</v>
      </c>
      <c r="S5" s="122">
        <f>(R5/6)*10000</f>
        <v>0</v>
      </c>
      <c r="T5" s="123">
        <f t="shared" ref="T5:T6" si="10">R5*2</f>
        <v>0</v>
      </c>
      <c r="U5" s="110">
        <v>0</v>
      </c>
      <c r="V5" s="138">
        <f t="shared" si="4"/>
        <v>0</v>
      </c>
      <c r="W5" s="125">
        <f>(V5/6)*10000</f>
        <v>0</v>
      </c>
      <c r="X5" s="126">
        <f t="shared" ref="X5:X6" si="11">V5*2</f>
        <v>0</v>
      </c>
      <c r="Y5" s="110">
        <v>0</v>
      </c>
      <c r="Z5" s="139">
        <f t="shared" si="5"/>
        <v>0</v>
      </c>
      <c r="AA5" s="128">
        <f>(Z5/6)*10000</f>
        <v>0</v>
      </c>
      <c r="AB5" s="129">
        <f t="shared" ref="AB5:AB6" si="12">Z5*2</f>
        <v>0</v>
      </c>
      <c r="AC5" s="130">
        <f t="shared" ref="AC5:AD5" si="13">F5+J5+N5+R5+V5+Z5</f>
        <v>0</v>
      </c>
      <c r="AD5" s="131">
        <f t="shared" si="13"/>
        <v>0</v>
      </c>
      <c r="AE5" s="132"/>
      <c r="AF5" s="133">
        <f t="shared" ref="AF5:AF28" si="14">AF4+1</f>
        <v>1</v>
      </c>
      <c r="AG5" s="133">
        <f t="shared" ref="AG5:AG16" si="15">AG4+2</f>
        <v>2</v>
      </c>
      <c r="AH5" s="133">
        <v>2</v>
      </c>
    </row>
    <row r="6" spans="1:34" ht="15.75" customHeight="1">
      <c r="A6" s="107" t="s">
        <v>84</v>
      </c>
      <c r="B6" s="140" t="s">
        <v>85</v>
      </c>
      <c r="C6" s="109">
        <v>20000</v>
      </c>
      <c r="D6" s="109">
        <v>48</v>
      </c>
      <c r="E6" s="110">
        <v>0</v>
      </c>
      <c r="F6" s="134">
        <f t="shared" si="0"/>
        <v>0</v>
      </c>
      <c r="G6" s="112">
        <f>(F6/48)*20000</f>
        <v>0</v>
      </c>
      <c r="H6" s="113">
        <f t="shared" si="7"/>
        <v>0</v>
      </c>
      <c r="I6" s="110">
        <v>0</v>
      </c>
      <c r="J6" s="135">
        <f t="shared" si="1"/>
        <v>0</v>
      </c>
      <c r="K6" s="115">
        <f>(J6/48)*20000</f>
        <v>0</v>
      </c>
      <c r="L6" s="116">
        <f t="shared" si="8"/>
        <v>0</v>
      </c>
      <c r="M6" s="110">
        <v>0</v>
      </c>
      <c r="N6" s="136">
        <f t="shared" si="2"/>
        <v>0</v>
      </c>
      <c r="O6" s="118">
        <f>(N6/48)*20000</f>
        <v>0</v>
      </c>
      <c r="P6" s="119">
        <f t="shared" si="9"/>
        <v>0</v>
      </c>
      <c r="Q6" s="110">
        <v>0</v>
      </c>
      <c r="R6" s="137">
        <f t="shared" si="3"/>
        <v>0</v>
      </c>
      <c r="S6" s="122">
        <f>(R6/48)*20000</f>
        <v>0</v>
      </c>
      <c r="T6" s="123">
        <f t="shared" si="10"/>
        <v>0</v>
      </c>
      <c r="U6" s="110">
        <v>1</v>
      </c>
      <c r="V6" s="138">
        <f t="shared" si="4"/>
        <v>48</v>
      </c>
      <c r="W6" s="125">
        <f>(V6/48)*20000</f>
        <v>20000</v>
      </c>
      <c r="X6" s="126">
        <f t="shared" si="11"/>
        <v>96</v>
      </c>
      <c r="Y6" s="110">
        <v>0</v>
      </c>
      <c r="Z6" s="139">
        <f t="shared" si="5"/>
        <v>0</v>
      </c>
      <c r="AA6" s="128">
        <f>(Z6/48)*20000</f>
        <v>0</v>
      </c>
      <c r="AB6" s="129">
        <f t="shared" si="12"/>
        <v>0</v>
      </c>
      <c r="AC6" s="130">
        <f t="shared" ref="AC6:AD6" si="16">F6+J6+N6+R6+V6+Z6</f>
        <v>48</v>
      </c>
      <c r="AD6" s="131">
        <f t="shared" si="16"/>
        <v>20000</v>
      </c>
      <c r="AE6" s="132"/>
      <c r="AF6" s="133">
        <f t="shared" si="14"/>
        <v>2</v>
      </c>
      <c r="AG6" s="133">
        <f t="shared" si="15"/>
        <v>4</v>
      </c>
      <c r="AH6" s="133">
        <f t="shared" ref="AH6:AH15" si="17">AH5+1</f>
        <v>3</v>
      </c>
    </row>
    <row r="7" spans="1:34" ht="15.75" customHeight="1">
      <c r="A7" s="107" t="s">
        <v>20</v>
      </c>
      <c r="B7" s="108" t="s">
        <v>86</v>
      </c>
      <c r="C7" s="109">
        <v>20000</v>
      </c>
      <c r="D7" s="109">
        <v>120</v>
      </c>
      <c r="E7" s="110">
        <v>0</v>
      </c>
      <c r="F7" s="134">
        <f t="shared" si="0"/>
        <v>0</v>
      </c>
      <c r="G7" s="112">
        <f>F7/120*20000</f>
        <v>0</v>
      </c>
      <c r="H7" s="113">
        <v>0</v>
      </c>
      <c r="I7" s="110">
        <v>0</v>
      </c>
      <c r="J7" s="135">
        <f t="shared" si="1"/>
        <v>0</v>
      </c>
      <c r="K7" s="115">
        <f>J7/120*20000</f>
        <v>0</v>
      </c>
      <c r="L7" s="116">
        <v>0</v>
      </c>
      <c r="M7" s="110">
        <v>0</v>
      </c>
      <c r="N7" s="136">
        <f t="shared" si="2"/>
        <v>0</v>
      </c>
      <c r="O7" s="118">
        <f>N7/120*20000</f>
        <v>0</v>
      </c>
      <c r="P7" s="119">
        <v>0</v>
      </c>
      <c r="Q7" s="110">
        <v>0</v>
      </c>
      <c r="R7" s="137">
        <f t="shared" si="3"/>
        <v>0</v>
      </c>
      <c r="S7" s="122">
        <f>R7/120*20000</f>
        <v>0</v>
      </c>
      <c r="T7" s="123">
        <v>0</v>
      </c>
      <c r="U7" s="110">
        <v>0</v>
      </c>
      <c r="V7" s="138">
        <f t="shared" si="4"/>
        <v>0</v>
      </c>
      <c r="W7" s="125">
        <f>V7/120*20000</f>
        <v>0</v>
      </c>
      <c r="X7" s="126">
        <v>0</v>
      </c>
      <c r="Y7" s="110">
        <v>1</v>
      </c>
      <c r="Z7" s="139">
        <f t="shared" si="5"/>
        <v>120</v>
      </c>
      <c r="AA7" s="128">
        <f>Z7/120*20000</f>
        <v>20000</v>
      </c>
      <c r="AB7" s="129">
        <v>0</v>
      </c>
      <c r="AC7" s="130">
        <f t="shared" ref="AC7:AD7" si="18">F7+J7+N7+R7+V7+Z7</f>
        <v>120</v>
      </c>
      <c r="AD7" s="131">
        <f t="shared" si="18"/>
        <v>20000</v>
      </c>
      <c r="AE7" s="132"/>
      <c r="AF7" s="133">
        <f t="shared" si="14"/>
        <v>3</v>
      </c>
      <c r="AG7" s="133">
        <f t="shared" si="15"/>
        <v>6</v>
      </c>
      <c r="AH7" s="133">
        <f t="shared" si="17"/>
        <v>4</v>
      </c>
    </row>
    <row r="8" spans="1:34" ht="15.75" customHeight="1">
      <c r="A8" s="141" t="s">
        <v>21</v>
      </c>
      <c r="B8" s="142"/>
      <c r="C8" s="109"/>
      <c r="D8" s="143" t="s">
        <v>77</v>
      </c>
      <c r="E8" s="144" t="s">
        <v>22</v>
      </c>
      <c r="F8" s="145" t="s">
        <v>87</v>
      </c>
      <c r="G8" s="146" t="s">
        <v>80</v>
      </c>
      <c r="H8" s="147" t="s">
        <v>88</v>
      </c>
      <c r="I8" s="148" t="s">
        <v>22</v>
      </c>
      <c r="J8" s="149" t="s">
        <v>87</v>
      </c>
      <c r="K8" s="150" t="s">
        <v>80</v>
      </c>
      <c r="L8" s="151" t="s">
        <v>88</v>
      </c>
      <c r="M8" s="152" t="s">
        <v>22</v>
      </c>
      <c r="N8" s="153" t="s">
        <v>87</v>
      </c>
      <c r="O8" s="154" t="s">
        <v>80</v>
      </c>
      <c r="P8" s="155" t="s">
        <v>88</v>
      </c>
      <c r="Q8" s="156" t="s">
        <v>22</v>
      </c>
      <c r="R8" s="157" t="s">
        <v>87</v>
      </c>
      <c r="S8" s="158" t="s">
        <v>80</v>
      </c>
      <c r="T8" s="159" t="s">
        <v>88</v>
      </c>
      <c r="U8" s="160" t="s">
        <v>22</v>
      </c>
      <c r="V8" s="161" t="s">
        <v>87</v>
      </c>
      <c r="W8" s="162" t="s">
        <v>80</v>
      </c>
      <c r="X8" s="163" t="s">
        <v>88</v>
      </c>
      <c r="Y8" s="164" t="s">
        <v>22</v>
      </c>
      <c r="Z8" s="165" t="s">
        <v>87</v>
      </c>
      <c r="AA8" s="166" t="s">
        <v>80</v>
      </c>
      <c r="AB8" s="167" t="s">
        <v>88</v>
      </c>
      <c r="AC8" s="168" t="s">
        <v>89</v>
      </c>
      <c r="AD8" s="169"/>
      <c r="AE8" s="170"/>
      <c r="AF8" s="133">
        <f t="shared" si="14"/>
        <v>4</v>
      </c>
      <c r="AG8" s="133">
        <f t="shared" si="15"/>
        <v>8</v>
      </c>
      <c r="AH8" s="133">
        <f t="shared" si="17"/>
        <v>5</v>
      </c>
    </row>
    <row r="9" spans="1:34" ht="15.75" customHeight="1">
      <c r="A9" s="107" t="s">
        <v>23</v>
      </c>
      <c r="B9" s="108" t="s">
        <v>90</v>
      </c>
      <c r="C9" s="109">
        <v>15000</v>
      </c>
      <c r="D9" s="109">
        <v>60000</v>
      </c>
      <c r="E9" s="110">
        <v>1</v>
      </c>
      <c r="F9" s="134">
        <f t="shared" ref="F9:F11" si="19">E9*$D9</f>
        <v>60000</v>
      </c>
      <c r="G9" s="112">
        <f t="shared" ref="G9:G10" si="20">F9/4</f>
        <v>15000</v>
      </c>
      <c r="H9" s="113">
        <f t="shared" ref="H9:H11" si="21">(F9/1000)*2</f>
        <v>120</v>
      </c>
      <c r="I9" s="110">
        <v>1</v>
      </c>
      <c r="J9" s="135">
        <f t="shared" ref="J9:J11" si="22">I9*$D9</f>
        <v>60000</v>
      </c>
      <c r="K9" s="115">
        <f t="shared" ref="K9:K10" si="23">J9/4</f>
        <v>15000</v>
      </c>
      <c r="L9" s="116">
        <f t="shared" ref="L9:L11" si="24">(J9/1000)*2</f>
        <v>120</v>
      </c>
      <c r="M9" s="110">
        <v>1</v>
      </c>
      <c r="N9" s="136">
        <f t="shared" ref="N9:N11" si="25">M9*$D9</f>
        <v>60000</v>
      </c>
      <c r="O9" s="118">
        <f t="shared" ref="O9:O10" si="26">N9/4</f>
        <v>15000</v>
      </c>
      <c r="P9" s="119">
        <f t="shared" ref="P9:P11" si="27">(N9/1000)*2</f>
        <v>120</v>
      </c>
      <c r="Q9" s="171">
        <v>0</v>
      </c>
      <c r="R9" s="137">
        <f t="shared" ref="R9:R11" si="28">Q9*$D9</f>
        <v>0</v>
      </c>
      <c r="S9" s="122">
        <f t="shared" ref="S9:S10" si="29">R9/4</f>
        <v>0</v>
      </c>
      <c r="T9" s="123">
        <f t="shared" ref="T9:T11" si="30">(R9/1000)*2</f>
        <v>0</v>
      </c>
      <c r="U9" s="171">
        <v>0</v>
      </c>
      <c r="V9" s="138">
        <f t="shared" ref="V9:V11" si="31">U9*$D9</f>
        <v>0</v>
      </c>
      <c r="W9" s="125">
        <f t="shared" ref="W9:W10" si="32">V9/4</f>
        <v>0</v>
      </c>
      <c r="X9" s="126">
        <f t="shared" ref="X9:X11" si="33">(V9/1000)*2</f>
        <v>0</v>
      </c>
      <c r="Y9" s="110"/>
      <c r="Z9" s="139">
        <f t="shared" ref="Z9:Z11" si="34">Y9*$D9</f>
        <v>0</v>
      </c>
      <c r="AA9" s="128">
        <f t="shared" ref="AA9:AA10" si="35">Z9/4</f>
        <v>0</v>
      </c>
      <c r="AB9" s="129">
        <f t="shared" ref="AB9:AB11" si="36">(Z9/1000)*2</f>
        <v>0</v>
      </c>
      <c r="AC9" s="130">
        <f t="shared" ref="AC9:AC11" si="37">F9+J9+N9+V9+R9+Z9</f>
        <v>180000</v>
      </c>
      <c r="AD9" s="131">
        <f t="shared" ref="AD9:AD11" si="38">G9+K9+O9+S9+W9+AA9</f>
        <v>45000</v>
      </c>
      <c r="AE9" s="132"/>
      <c r="AF9" s="133">
        <f t="shared" si="14"/>
        <v>5</v>
      </c>
      <c r="AG9" s="133">
        <f t="shared" si="15"/>
        <v>10</v>
      </c>
      <c r="AH9" s="133">
        <f t="shared" si="17"/>
        <v>6</v>
      </c>
    </row>
    <row r="10" spans="1:34" ht="15.75" customHeight="1">
      <c r="A10" s="107" t="s">
        <v>24</v>
      </c>
      <c r="B10" s="108" t="s">
        <v>91</v>
      </c>
      <c r="C10" s="109">
        <v>20000</v>
      </c>
      <c r="D10" s="109">
        <v>80000</v>
      </c>
      <c r="E10" s="110">
        <v>0</v>
      </c>
      <c r="F10" s="134">
        <f t="shared" si="19"/>
        <v>0</v>
      </c>
      <c r="G10" s="112">
        <f t="shared" si="20"/>
        <v>0</v>
      </c>
      <c r="H10" s="113">
        <f t="shared" si="21"/>
        <v>0</v>
      </c>
      <c r="I10" s="110">
        <v>0</v>
      </c>
      <c r="J10" s="135">
        <f t="shared" si="22"/>
        <v>0</v>
      </c>
      <c r="K10" s="115">
        <f t="shared" si="23"/>
        <v>0</v>
      </c>
      <c r="L10" s="116">
        <f t="shared" si="24"/>
        <v>0</v>
      </c>
      <c r="M10" s="110">
        <v>0</v>
      </c>
      <c r="N10" s="136">
        <f t="shared" si="25"/>
        <v>0</v>
      </c>
      <c r="O10" s="118">
        <f t="shared" si="26"/>
        <v>0</v>
      </c>
      <c r="P10" s="119">
        <f t="shared" si="27"/>
        <v>0</v>
      </c>
      <c r="Q10" s="171">
        <v>0</v>
      </c>
      <c r="R10" s="137">
        <f t="shared" si="28"/>
        <v>0</v>
      </c>
      <c r="S10" s="122">
        <f t="shared" si="29"/>
        <v>0</v>
      </c>
      <c r="T10" s="123">
        <f t="shared" si="30"/>
        <v>0</v>
      </c>
      <c r="U10" s="171">
        <v>0</v>
      </c>
      <c r="V10" s="138">
        <f t="shared" si="31"/>
        <v>0</v>
      </c>
      <c r="W10" s="125">
        <f t="shared" si="32"/>
        <v>0</v>
      </c>
      <c r="X10" s="126">
        <f t="shared" si="33"/>
        <v>0</v>
      </c>
      <c r="Y10" s="110">
        <v>0</v>
      </c>
      <c r="Z10" s="139">
        <f t="shared" si="34"/>
        <v>0</v>
      </c>
      <c r="AA10" s="128">
        <f t="shared" si="35"/>
        <v>0</v>
      </c>
      <c r="AB10" s="129">
        <f t="shared" si="36"/>
        <v>0</v>
      </c>
      <c r="AC10" s="130">
        <f t="shared" si="37"/>
        <v>0</v>
      </c>
      <c r="AD10" s="131">
        <f t="shared" si="38"/>
        <v>0</v>
      </c>
      <c r="AE10" s="132"/>
      <c r="AF10" s="133">
        <f t="shared" si="14"/>
        <v>6</v>
      </c>
      <c r="AG10" s="133">
        <f t="shared" si="15"/>
        <v>12</v>
      </c>
      <c r="AH10" s="133">
        <f t="shared" si="17"/>
        <v>7</v>
      </c>
    </row>
    <row r="11" spans="1:34" ht="15.75" customHeight="1">
      <c r="A11" s="107" t="s">
        <v>25</v>
      </c>
      <c r="B11" s="108" t="s">
        <v>92</v>
      </c>
      <c r="C11" s="109">
        <v>15000</v>
      </c>
      <c r="D11" s="109">
        <v>120000</v>
      </c>
      <c r="E11" s="110">
        <v>0</v>
      </c>
      <c r="F11" s="134">
        <f t="shared" si="19"/>
        <v>0</v>
      </c>
      <c r="G11" s="112">
        <f>F11/8</f>
        <v>0</v>
      </c>
      <c r="H11" s="113">
        <f t="shared" si="21"/>
        <v>0</v>
      </c>
      <c r="I11" s="110">
        <v>2</v>
      </c>
      <c r="J11" s="135">
        <f t="shared" si="22"/>
        <v>240000</v>
      </c>
      <c r="K11" s="115">
        <f>J11/8</f>
        <v>30000</v>
      </c>
      <c r="L11" s="116">
        <f t="shared" si="24"/>
        <v>480</v>
      </c>
      <c r="M11" s="110">
        <v>0</v>
      </c>
      <c r="N11" s="136">
        <f t="shared" si="25"/>
        <v>0</v>
      </c>
      <c r="O11" s="118">
        <f>N11/8</f>
        <v>0</v>
      </c>
      <c r="P11" s="119">
        <f t="shared" si="27"/>
        <v>0</v>
      </c>
      <c r="Q11" s="171">
        <v>0</v>
      </c>
      <c r="R11" s="137">
        <f t="shared" si="28"/>
        <v>0</v>
      </c>
      <c r="S11" s="122">
        <f>R11/8</f>
        <v>0</v>
      </c>
      <c r="T11" s="123">
        <f t="shared" si="30"/>
        <v>0</v>
      </c>
      <c r="U11" s="171">
        <v>0</v>
      </c>
      <c r="V11" s="138">
        <f t="shared" si="31"/>
        <v>0</v>
      </c>
      <c r="W11" s="125">
        <f>V11/8</f>
        <v>0</v>
      </c>
      <c r="X11" s="126">
        <f t="shared" si="33"/>
        <v>0</v>
      </c>
      <c r="Y11" s="110">
        <v>0</v>
      </c>
      <c r="Z11" s="139">
        <f t="shared" si="34"/>
        <v>0</v>
      </c>
      <c r="AA11" s="128">
        <f>Z11/8</f>
        <v>0</v>
      </c>
      <c r="AB11" s="129">
        <f t="shared" si="36"/>
        <v>0</v>
      </c>
      <c r="AC11" s="130">
        <f t="shared" si="37"/>
        <v>240000</v>
      </c>
      <c r="AD11" s="131">
        <f t="shared" si="38"/>
        <v>30000</v>
      </c>
      <c r="AE11" s="132"/>
      <c r="AF11" s="133">
        <f t="shared" si="14"/>
        <v>7</v>
      </c>
      <c r="AG11" s="133">
        <f t="shared" si="15"/>
        <v>14</v>
      </c>
      <c r="AH11" s="133">
        <f t="shared" si="17"/>
        <v>8</v>
      </c>
    </row>
    <row r="12" spans="1:34" ht="15.75" customHeight="1">
      <c r="A12" s="141" t="s">
        <v>26</v>
      </c>
      <c r="B12" s="172"/>
      <c r="C12" s="173"/>
      <c r="D12" s="173"/>
      <c r="E12" s="144" t="s">
        <v>22</v>
      </c>
      <c r="F12" s="145" t="s">
        <v>87</v>
      </c>
      <c r="G12" s="146" t="s">
        <v>80</v>
      </c>
      <c r="H12" s="147" t="s">
        <v>88</v>
      </c>
      <c r="I12" s="148" t="s">
        <v>22</v>
      </c>
      <c r="J12" s="149" t="s">
        <v>87</v>
      </c>
      <c r="K12" s="150" t="s">
        <v>80</v>
      </c>
      <c r="L12" s="151" t="s">
        <v>88</v>
      </c>
      <c r="M12" s="152" t="s">
        <v>22</v>
      </c>
      <c r="N12" s="153" t="s">
        <v>87</v>
      </c>
      <c r="O12" s="154" t="s">
        <v>80</v>
      </c>
      <c r="P12" s="155" t="s">
        <v>88</v>
      </c>
      <c r="Q12" s="156" t="s">
        <v>22</v>
      </c>
      <c r="R12" s="157" t="s">
        <v>87</v>
      </c>
      <c r="S12" s="158" t="s">
        <v>80</v>
      </c>
      <c r="T12" s="159" t="s">
        <v>88</v>
      </c>
      <c r="U12" s="160" t="s">
        <v>22</v>
      </c>
      <c r="V12" s="161" t="s">
        <v>87</v>
      </c>
      <c r="W12" s="162" t="s">
        <v>80</v>
      </c>
      <c r="X12" s="163" t="s">
        <v>88</v>
      </c>
      <c r="Y12" s="164" t="s">
        <v>22</v>
      </c>
      <c r="Z12" s="165" t="s">
        <v>87</v>
      </c>
      <c r="AA12" s="166" t="s">
        <v>80</v>
      </c>
      <c r="AB12" s="167" t="s">
        <v>88</v>
      </c>
      <c r="AC12" s="168" t="s">
        <v>89</v>
      </c>
      <c r="AD12" s="169"/>
      <c r="AE12" s="170"/>
      <c r="AF12" s="133">
        <f t="shared" si="14"/>
        <v>8</v>
      </c>
      <c r="AG12" s="133">
        <f t="shared" si="15"/>
        <v>16</v>
      </c>
      <c r="AH12" s="133">
        <f t="shared" si="17"/>
        <v>9</v>
      </c>
    </row>
    <row r="13" spans="1:34" ht="15.75" customHeight="1">
      <c r="A13" s="107" t="s">
        <v>27</v>
      </c>
      <c r="B13" s="108" t="s">
        <v>93</v>
      </c>
      <c r="C13" s="109">
        <v>5000</v>
      </c>
      <c r="D13" s="109">
        <v>5000</v>
      </c>
      <c r="E13" s="110">
        <v>0</v>
      </c>
      <c r="F13" s="134">
        <f>E13*$C$13</f>
        <v>0</v>
      </c>
      <c r="G13" s="112">
        <f t="shared" ref="G13:G15" si="39">F13</f>
        <v>0</v>
      </c>
      <c r="H13" s="113">
        <f>(G13/1000)*3</f>
        <v>0</v>
      </c>
      <c r="I13" s="110">
        <v>2</v>
      </c>
      <c r="J13" s="135">
        <f>I13*$C$13</f>
        <v>10000</v>
      </c>
      <c r="K13" s="115">
        <f t="shared" ref="K13:K15" si="40">J13</f>
        <v>10000</v>
      </c>
      <c r="L13" s="116">
        <f>(K13/1000)*3</f>
        <v>30</v>
      </c>
      <c r="M13" s="110">
        <v>0</v>
      </c>
      <c r="N13" s="136">
        <f>M13*$C$13</f>
        <v>0</v>
      </c>
      <c r="O13" s="118">
        <f t="shared" ref="O13:O14" si="41">N13</f>
        <v>0</v>
      </c>
      <c r="P13" s="119">
        <f>(O13/1000)*3</f>
        <v>0</v>
      </c>
      <c r="Q13" s="110">
        <v>0</v>
      </c>
      <c r="R13" s="137">
        <f>Q13*$C$13</f>
        <v>0</v>
      </c>
      <c r="S13" s="122">
        <f t="shared" ref="S13:S14" si="42">R13</f>
        <v>0</v>
      </c>
      <c r="T13" s="123">
        <f>(S13/1000)*3</f>
        <v>0</v>
      </c>
      <c r="U13" s="110">
        <v>3</v>
      </c>
      <c r="V13" s="138">
        <f>U13*$C$13</f>
        <v>15000</v>
      </c>
      <c r="W13" s="125">
        <f t="shared" ref="W13:W14" si="43">V13</f>
        <v>15000</v>
      </c>
      <c r="X13" s="126">
        <f>(W13/1000)*3</f>
        <v>45</v>
      </c>
      <c r="Y13" s="110">
        <v>0</v>
      </c>
      <c r="Z13" s="139">
        <f>Y13*$C$13</f>
        <v>0</v>
      </c>
      <c r="AA13" s="128">
        <f t="shared" ref="AA13:AA14" si="44">Z13</f>
        <v>0</v>
      </c>
      <c r="AB13" s="129">
        <f>(AA13/1000)*3</f>
        <v>0</v>
      </c>
      <c r="AC13" s="130">
        <f t="shared" ref="AC13:AC15" si="45">F13+J13+N13+V13+R13+Z13</f>
        <v>25000</v>
      </c>
      <c r="AD13" s="131">
        <f t="shared" ref="AD13:AD15" si="46">G13+K13+O13+S13+W13+AA13</f>
        <v>25000</v>
      </c>
      <c r="AE13" s="132"/>
      <c r="AF13" s="133">
        <f t="shared" si="14"/>
        <v>9</v>
      </c>
      <c r="AG13" s="133">
        <f t="shared" si="15"/>
        <v>18</v>
      </c>
      <c r="AH13" s="133">
        <f t="shared" si="17"/>
        <v>10</v>
      </c>
    </row>
    <row r="14" spans="1:34" ht="15.75" customHeight="1">
      <c r="A14" s="107" t="s">
        <v>94</v>
      </c>
      <c r="B14" s="108" t="s">
        <v>95</v>
      </c>
      <c r="C14" s="109">
        <v>40000</v>
      </c>
      <c r="D14" s="109">
        <v>40000</v>
      </c>
      <c r="E14" s="110">
        <v>1</v>
      </c>
      <c r="F14" s="134">
        <f t="shared" ref="F14:F15" si="47">E14*$D14</f>
        <v>40000</v>
      </c>
      <c r="G14" s="112">
        <f t="shared" si="39"/>
        <v>40000</v>
      </c>
      <c r="H14" s="113">
        <f>(G14/1000)*4</f>
        <v>160</v>
      </c>
      <c r="I14" s="110">
        <v>0</v>
      </c>
      <c r="J14" s="135">
        <f t="shared" ref="J14:J15" si="48">I14*$D14</f>
        <v>0</v>
      </c>
      <c r="K14" s="115">
        <f t="shared" si="40"/>
        <v>0</v>
      </c>
      <c r="L14" s="116">
        <f>(K14/1000)*4</f>
        <v>0</v>
      </c>
      <c r="M14" s="110">
        <v>0</v>
      </c>
      <c r="N14" s="136">
        <f>M14*$D14</f>
        <v>0</v>
      </c>
      <c r="O14" s="118">
        <f t="shared" si="41"/>
        <v>0</v>
      </c>
      <c r="P14" s="119">
        <f>(O14/1000)*4</f>
        <v>0</v>
      </c>
      <c r="Q14" s="110">
        <v>0</v>
      </c>
      <c r="R14" s="137">
        <f>Q14*$D14</f>
        <v>0</v>
      </c>
      <c r="S14" s="122">
        <f t="shared" si="42"/>
        <v>0</v>
      </c>
      <c r="T14" s="123">
        <f>(S14/1000)*4</f>
        <v>0</v>
      </c>
      <c r="U14" s="110">
        <v>0</v>
      </c>
      <c r="V14" s="138">
        <f>U14*$D14</f>
        <v>0</v>
      </c>
      <c r="W14" s="125">
        <f t="shared" si="43"/>
        <v>0</v>
      </c>
      <c r="X14" s="126">
        <f>(W14/1000)*4</f>
        <v>0</v>
      </c>
      <c r="Y14" s="110">
        <v>0</v>
      </c>
      <c r="Z14" s="139">
        <f>Y14*$D14</f>
        <v>0</v>
      </c>
      <c r="AA14" s="128">
        <f t="shared" si="44"/>
        <v>0</v>
      </c>
      <c r="AB14" s="129">
        <f>(AA14/1000)*4</f>
        <v>0</v>
      </c>
      <c r="AC14" s="130">
        <f t="shared" si="45"/>
        <v>40000</v>
      </c>
      <c r="AD14" s="131">
        <f t="shared" si="46"/>
        <v>40000</v>
      </c>
      <c r="AE14" s="132"/>
      <c r="AF14" s="133">
        <f t="shared" si="14"/>
        <v>10</v>
      </c>
      <c r="AG14" s="133">
        <f t="shared" si="15"/>
        <v>20</v>
      </c>
      <c r="AH14" s="133">
        <f t="shared" si="17"/>
        <v>11</v>
      </c>
    </row>
    <row r="15" spans="1:34" ht="15.75" customHeight="1">
      <c r="A15" s="107" t="s">
        <v>96</v>
      </c>
      <c r="B15" s="108" t="s">
        <v>97</v>
      </c>
      <c r="C15" s="109">
        <v>80000</v>
      </c>
      <c r="D15" s="109">
        <v>80000</v>
      </c>
      <c r="E15" s="110">
        <v>0</v>
      </c>
      <c r="F15" s="134">
        <f t="shared" si="47"/>
        <v>0</v>
      </c>
      <c r="G15" s="112">
        <f t="shared" si="39"/>
        <v>0</v>
      </c>
      <c r="H15" s="113">
        <f>(G15/1000)*5</f>
        <v>0</v>
      </c>
      <c r="I15" s="110">
        <v>0</v>
      </c>
      <c r="J15" s="135">
        <f t="shared" si="48"/>
        <v>0</v>
      </c>
      <c r="K15" s="115">
        <f t="shared" si="40"/>
        <v>0</v>
      </c>
      <c r="L15" s="116">
        <f>(K15/1000)*5</f>
        <v>0</v>
      </c>
      <c r="M15" s="174"/>
      <c r="N15" s="175"/>
      <c r="O15" s="118"/>
      <c r="P15" s="176"/>
      <c r="Q15" s="177"/>
      <c r="R15" s="178"/>
      <c r="S15" s="122"/>
      <c r="T15" s="179"/>
      <c r="U15" s="180"/>
      <c r="V15" s="181"/>
      <c r="W15" s="125"/>
      <c r="X15" s="182"/>
      <c r="Y15" s="183"/>
      <c r="Z15" s="184"/>
      <c r="AA15" s="128"/>
      <c r="AB15" s="185"/>
      <c r="AC15" s="130">
        <f t="shared" si="45"/>
        <v>0</v>
      </c>
      <c r="AD15" s="131">
        <f t="shared" si="46"/>
        <v>0</v>
      </c>
      <c r="AE15" s="132"/>
      <c r="AF15" s="133">
        <f t="shared" si="14"/>
        <v>11</v>
      </c>
      <c r="AG15" s="133">
        <f t="shared" si="15"/>
        <v>22</v>
      </c>
      <c r="AH15" s="133">
        <f t="shared" si="17"/>
        <v>12</v>
      </c>
    </row>
    <row r="16" spans="1:34" ht="15.75" customHeight="1">
      <c r="A16" s="141" t="s">
        <v>98</v>
      </c>
      <c r="B16" s="172"/>
      <c r="C16" s="173"/>
      <c r="D16" s="173"/>
      <c r="E16" s="144" t="s">
        <v>22</v>
      </c>
      <c r="F16" s="145" t="s">
        <v>87</v>
      </c>
      <c r="G16" s="146" t="s">
        <v>80</v>
      </c>
      <c r="H16" s="147" t="s">
        <v>88</v>
      </c>
      <c r="I16" s="148" t="s">
        <v>22</v>
      </c>
      <c r="J16" s="149" t="s">
        <v>87</v>
      </c>
      <c r="K16" s="150" t="s">
        <v>80</v>
      </c>
      <c r="L16" s="151" t="s">
        <v>88</v>
      </c>
      <c r="M16" s="152" t="s">
        <v>22</v>
      </c>
      <c r="N16" s="153" t="s">
        <v>87</v>
      </c>
      <c r="O16" s="154" t="s">
        <v>67</v>
      </c>
      <c r="P16" s="155" t="s">
        <v>88</v>
      </c>
      <c r="Q16" s="156" t="s">
        <v>22</v>
      </c>
      <c r="R16" s="157" t="s">
        <v>87</v>
      </c>
      <c r="S16" s="158" t="s">
        <v>80</v>
      </c>
      <c r="T16" s="159" t="s">
        <v>88</v>
      </c>
      <c r="U16" s="160" t="s">
        <v>22</v>
      </c>
      <c r="V16" s="161" t="s">
        <v>87</v>
      </c>
      <c r="W16" s="162" t="s">
        <v>80</v>
      </c>
      <c r="X16" s="163" t="s">
        <v>88</v>
      </c>
      <c r="Y16" s="164" t="s">
        <v>22</v>
      </c>
      <c r="Z16" s="165" t="s">
        <v>87</v>
      </c>
      <c r="AA16" s="166" t="s">
        <v>80</v>
      </c>
      <c r="AB16" s="167" t="s">
        <v>88</v>
      </c>
      <c r="AC16" s="168" t="s">
        <v>89</v>
      </c>
      <c r="AD16" s="169"/>
      <c r="AE16" s="170"/>
      <c r="AF16" s="133">
        <f t="shared" si="14"/>
        <v>12</v>
      </c>
      <c r="AG16" s="133">
        <f t="shared" si="15"/>
        <v>24</v>
      </c>
      <c r="AH16" s="133"/>
    </row>
    <row r="17" spans="1:34" ht="15.75" customHeight="1">
      <c r="A17" s="107" t="s">
        <v>99</v>
      </c>
      <c r="B17" s="108" t="s">
        <v>100</v>
      </c>
      <c r="C17" s="109">
        <v>20000</v>
      </c>
      <c r="D17" s="109">
        <v>60000</v>
      </c>
      <c r="E17" s="186"/>
      <c r="F17" s="187"/>
      <c r="G17" s="112"/>
      <c r="H17" s="188"/>
      <c r="I17" s="120">
        <v>1</v>
      </c>
      <c r="J17" s="135">
        <f>I17*$D17</f>
        <v>60000</v>
      </c>
      <c r="K17" s="115">
        <f>I17*C17</f>
        <v>20000</v>
      </c>
      <c r="L17" s="116">
        <v>0</v>
      </c>
      <c r="M17" s="174"/>
      <c r="N17" s="136"/>
      <c r="O17" s="118"/>
      <c r="P17" s="119"/>
      <c r="Q17" s="177"/>
      <c r="R17" s="137"/>
      <c r="S17" s="122"/>
      <c r="T17" s="123"/>
      <c r="U17" s="180"/>
      <c r="V17" s="138"/>
      <c r="W17" s="125"/>
      <c r="X17" s="126"/>
      <c r="Y17" s="183"/>
      <c r="Z17" s="139"/>
      <c r="AA17" s="128"/>
      <c r="AB17" s="129"/>
      <c r="AC17" s="130">
        <f t="shared" ref="AC17:AD17" si="49">J17</f>
        <v>60000</v>
      </c>
      <c r="AD17" s="131">
        <f t="shared" si="49"/>
        <v>20000</v>
      </c>
      <c r="AE17" s="132"/>
      <c r="AF17" s="133">
        <f t="shared" si="14"/>
        <v>13</v>
      </c>
      <c r="AG17" s="133"/>
      <c r="AH17" s="133"/>
    </row>
    <row r="18" spans="1:34" ht="15.75" customHeight="1">
      <c r="A18" s="107" t="s">
        <v>32</v>
      </c>
      <c r="B18" s="108" t="s">
        <v>101</v>
      </c>
      <c r="C18" s="109">
        <v>20000</v>
      </c>
      <c r="D18" s="109">
        <v>48000</v>
      </c>
      <c r="E18" s="186"/>
      <c r="F18" s="187"/>
      <c r="G18" s="112"/>
      <c r="H18" s="188"/>
      <c r="I18" s="189"/>
      <c r="J18" s="190"/>
      <c r="K18" s="115"/>
      <c r="L18" s="191"/>
      <c r="M18" s="174">
        <v>1</v>
      </c>
      <c r="N18" s="136">
        <v>48000</v>
      </c>
      <c r="O18" s="118">
        <f>N18/2.4</f>
        <v>20000</v>
      </c>
      <c r="P18" s="119">
        <v>0</v>
      </c>
      <c r="Q18" s="177"/>
      <c r="R18" s="178"/>
      <c r="S18" s="122"/>
      <c r="T18" s="179"/>
      <c r="U18" s="180"/>
      <c r="V18" s="181"/>
      <c r="W18" s="125"/>
      <c r="X18" s="182"/>
      <c r="Y18" s="183"/>
      <c r="Z18" s="184"/>
      <c r="AA18" s="128"/>
      <c r="AB18" s="185"/>
      <c r="AC18" s="130">
        <f t="shared" ref="AC18:AC19" si="50">F18+J18+N18+V18+R18+Z18</f>
        <v>48000</v>
      </c>
      <c r="AD18" s="131">
        <f t="shared" ref="AD18:AD19" si="51">G18+K18+O18+S18+W18+AA18</f>
        <v>20000</v>
      </c>
      <c r="AE18" s="132"/>
      <c r="AF18" s="133">
        <f t="shared" si="14"/>
        <v>14</v>
      </c>
      <c r="AG18" s="133"/>
      <c r="AH18" s="133"/>
    </row>
    <row r="19" spans="1:34" ht="15.75" customHeight="1">
      <c r="A19" s="107" t="s">
        <v>33</v>
      </c>
      <c r="B19" s="108" t="s">
        <v>102</v>
      </c>
      <c r="C19" s="109">
        <v>40000</v>
      </c>
      <c r="D19" s="109">
        <v>60000</v>
      </c>
      <c r="E19" s="186"/>
      <c r="F19" s="187"/>
      <c r="G19" s="112"/>
      <c r="H19" s="188"/>
      <c r="I19" s="189"/>
      <c r="J19" s="190"/>
      <c r="K19" s="115"/>
      <c r="L19" s="191"/>
      <c r="M19" s="174"/>
      <c r="N19" s="175"/>
      <c r="O19" s="118"/>
      <c r="P19" s="176"/>
      <c r="Q19" s="110">
        <v>1</v>
      </c>
      <c r="R19" s="137">
        <f>Q19*$D19</f>
        <v>60000</v>
      </c>
      <c r="S19" s="122">
        <f>Q19*C19</f>
        <v>40000</v>
      </c>
      <c r="T19" s="123">
        <v>0</v>
      </c>
      <c r="U19" s="180"/>
      <c r="V19" s="181"/>
      <c r="W19" s="125"/>
      <c r="X19" s="182"/>
      <c r="Y19" s="183"/>
      <c r="Z19" s="184"/>
      <c r="AA19" s="128"/>
      <c r="AB19" s="185"/>
      <c r="AC19" s="130">
        <f t="shared" si="50"/>
        <v>60000</v>
      </c>
      <c r="AD19" s="131">
        <f t="shared" si="51"/>
        <v>40000</v>
      </c>
      <c r="AE19" s="132"/>
      <c r="AF19" s="133">
        <f t="shared" si="14"/>
        <v>15</v>
      </c>
      <c r="AG19" s="133"/>
      <c r="AH19" s="133"/>
    </row>
    <row r="20" spans="1:34" ht="15.75" customHeight="1">
      <c r="A20" s="141" t="s">
        <v>34</v>
      </c>
      <c r="B20" s="172"/>
      <c r="C20" s="173"/>
      <c r="D20" s="173"/>
      <c r="E20" s="144" t="s">
        <v>34</v>
      </c>
      <c r="F20" s="145" t="s">
        <v>89</v>
      </c>
      <c r="G20" s="146" t="s">
        <v>80</v>
      </c>
      <c r="H20" s="147" t="s">
        <v>88</v>
      </c>
      <c r="I20" s="148" t="s">
        <v>34</v>
      </c>
      <c r="J20" s="149" t="s">
        <v>89</v>
      </c>
      <c r="K20" s="150" t="s">
        <v>80</v>
      </c>
      <c r="L20" s="151" t="s">
        <v>88</v>
      </c>
      <c r="M20" s="152" t="s">
        <v>34</v>
      </c>
      <c r="N20" s="153" t="s">
        <v>89</v>
      </c>
      <c r="O20" s="154" t="s">
        <v>80</v>
      </c>
      <c r="P20" s="155" t="s">
        <v>88</v>
      </c>
      <c r="Q20" s="156" t="s">
        <v>34</v>
      </c>
      <c r="R20" s="157" t="s">
        <v>89</v>
      </c>
      <c r="S20" s="158" t="s">
        <v>80</v>
      </c>
      <c r="T20" s="159" t="s">
        <v>88</v>
      </c>
      <c r="U20" s="160" t="s">
        <v>34</v>
      </c>
      <c r="V20" s="161" t="s">
        <v>89</v>
      </c>
      <c r="W20" s="162" t="s">
        <v>80</v>
      </c>
      <c r="X20" s="163" t="s">
        <v>88</v>
      </c>
      <c r="Y20" s="164" t="s">
        <v>34</v>
      </c>
      <c r="Z20" s="165" t="s">
        <v>89</v>
      </c>
      <c r="AA20" s="166" t="s">
        <v>80</v>
      </c>
      <c r="AB20" s="167" t="s">
        <v>88</v>
      </c>
      <c r="AC20" s="168" t="s">
        <v>89</v>
      </c>
      <c r="AD20" s="169"/>
      <c r="AE20" s="170"/>
      <c r="AF20" s="133">
        <f t="shared" si="14"/>
        <v>16</v>
      </c>
      <c r="AG20" s="133"/>
      <c r="AH20" s="133"/>
    </row>
    <row r="21" spans="1:34" ht="15.75" customHeight="1">
      <c r="A21" s="107" t="s">
        <v>35</v>
      </c>
      <c r="B21" s="108" t="s">
        <v>103</v>
      </c>
      <c r="C21" s="109">
        <v>5000</v>
      </c>
      <c r="D21" s="109">
        <v>1</v>
      </c>
      <c r="E21" s="110">
        <v>3</v>
      </c>
      <c r="F21" s="134">
        <f t="shared" ref="F21:F23" si="52">E21*$C21</f>
        <v>15000</v>
      </c>
      <c r="G21" s="112">
        <f t="shared" ref="G21:G23" si="53">F21</f>
        <v>15000</v>
      </c>
      <c r="H21" s="113">
        <v>0</v>
      </c>
      <c r="I21" s="110">
        <v>0</v>
      </c>
      <c r="J21" s="135">
        <f t="shared" ref="J21:J23" si="54">I21*$C21</f>
        <v>0</v>
      </c>
      <c r="K21" s="115">
        <f t="shared" ref="K21:K23" si="55">J21</f>
        <v>0</v>
      </c>
      <c r="L21" s="116">
        <v>0</v>
      </c>
      <c r="M21" s="171">
        <v>0</v>
      </c>
      <c r="N21" s="136">
        <f t="shared" ref="N21:N23" si="56">M21*$C21</f>
        <v>0</v>
      </c>
      <c r="O21" s="118">
        <f t="shared" ref="O21:O23" si="57">N21</f>
        <v>0</v>
      </c>
      <c r="P21" s="119">
        <v>0</v>
      </c>
      <c r="Q21" s="171">
        <v>0</v>
      </c>
      <c r="R21" s="137">
        <f t="shared" ref="R21:R23" si="58">Q21*$C21</f>
        <v>0</v>
      </c>
      <c r="S21" s="122">
        <f t="shared" ref="S21:S23" si="59">R21</f>
        <v>0</v>
      </c>
      <c r="T21" s="123">
        <v>0</v>
      </c>
      <c r="U21" s="171">
        <v>0</v>
      </c>
      <c r="V21" s="138">
        <f t="shared" ref="V21:V23" si="60">U21*$C21</f>
        <v>0</v>
      </c>
      <c r="W21" s="125">
        <f t="shared" ref="W21:W23" si="61">V21</f>
        <v>0</v>
      </c>
      <c r="X21" s="126">
        <v>0</v>
      </c>
      <c r="Y21" s="171">
        <v>0</v>
      </c>
      <c r="Z21" s="139">
        <f t="shared" ref="Z21:Z23" si="62">Y21*$C21</f>
        <v>0</v>
      </c>
      <c r="AA21" s="128">
        <f t="shared" ref="AA21:AA23" si="63">Z21</f>
        <v>0</v>
      </c>
      <c r="AB21" s="129">
        <v>0</v>
      </c>
      <c r="AC21" s="130">
        <f t="shared" ref="AC21:AC23" si="64">F21+J21+N21+V21+R21+Z21</f>
        <v>15000</v>
      </c>
      <c r="AD21" s="131">
        <f t="shared" ref="AD21:AD23" si="65">F21+K21+O21+S21+W21+AA21</f>
        <v>15000</v>
      </c>
      <c r="AE21" s="132"/>
      <c r="AF21" s="133">
        <f t="shared" si="14"/>
        <v>17</v>
      </c>
      <c r="AG21" s="133"/>
      <c r="AH21" s="133"/>
    </row>
    <row r="22" spans="1:34" ht="15.75" customHeight="1">
      <c r="A22" s="107" t="s">
        <v>36</v>
      </c>
      <c r="B22" s="108" t="s">
        <v>104</v>
      </c>
      <c r="C22" s="109">
        <v>5000</v>
      </c>
      <c r="D22" s="109">
        <v>1</v>
      </c>
      <c r="E22" s="110">
        <v>0</v>
      </c>
      <c r="F22" s="134">
        <f t="shared" si="52"/>
        <v>0</v>
      </c>
      <c r="G22" s="112">
        <f t="shared" si="53"/>
        <v>0</v>
      </c>
      <c r="H22" s="113">
        <v>0</v>
      </c>
      <c r="I22" s="110">
        <v>0</v>
      </c>
      <c r="J22" s="135">
        <f t="shared" si="54"/>
        <v>0</v>
      </c>
      <c r="K22" s="115">
        <f t="shared" si="55"/>
        <v>0</v>
      </c>
      <c r="L22" s="116">
        <v>0</v>
      </c>
      <c r="M22" s="171">
        <v>0</v>
      </c>
      <c r="N22" s="136">
        <f t="shared" si="56"/>
        <v>0</v>
      </c>
      <c r="O22" s="118">
        <f t="shared" si="57"/>
        <v>0</v>
      </c>
      <c r="P22" s="119">
        <v>0</v>
      </c>
      <c r="Q22" s="171">
        <v>0</v>
      </c>
      <c r="R22" s="137">
        <f t="shared" si="58"/>
        <v>0</v>
      </c>
      <c r="S22" s="122">
        <f t="shared" si="59"/>
        <v>0</v>
      </c>
      <c r="T22" s="123">
        <v>0</v>
      </c>
      <c r="U22" s="171">
        <v>2</v>
      </c>
      <c r="V22" s="138">
        <f t="shared" si="60"/>
        <v>10000</v>
      </c>
      <c r="W22" s="125">
        <f t="shared" si="61"/>
        <v>10000</v>
      </c>
      <c r="X22" s="126">
        <v>0</v>
      </c>
      <c r="Y22" s="171">
        <v>0</v>
      </c>
      <c r="Z22" s="139">
        <f t="shared" si="62"/>
        <v>0</v>
      </c>
      <c r="AA22" s="128">
        <f t="shared" si="63"/>
        <v>0</v>
      </c>
      <c r="AB22" s="129">
        <v>0</v>
      </c>
      <c r="AC22" s="130">
        <f t="shared" si="64"/>
        <v>10000</v>
      </c>
      <c r="AD22" s="131">
        <f t="shared" si="65"/>
        <v>10000</v>
      </c>
      <c r="AE22" s="132"/>
      <c r="AF22" s="133">
        <f t="shared" si="14"/>
        <v>18</v>
      </c>
      <c r="AG22" s="133"/>
      <c r="AH22" s="133"/>
    </row>
    <row r="23" spans="1:34" ht="15.75" customHeight="1">
      <c r="A23" s="107" t="s">
        <v>37</v>
      </c>
      <c r="B23" s="108" t="s">
        <v>104</v>
      </c>
      <c r="C23" s="109">
        <v>5000</v>
      </c>
      <c r="D23" s="109">
        <v>1</v>
      </c>
      <c r="E23" s="171">
        <v>0</v>
      </c>
      <c r="F23" s="134">
        <f t="shared" si="52"/>
        <v>0</v>
      </c>
      <c r="G23" s="112">
        <f t="shared" si="53"/>
        <v>0</v>
      </c>
      <c r="H23" s="113">
        <v>0</v>
      </c>
      <c r="I23" s="171">
        <v>0</v>
      </c>
      <c r="J23" s="135">
        <f t="shared" si="54"/>
        <v>0</v>
      </c>
      <c r="K23" s="115">
        <f t="shared" si="55"/>
        <v>0</v>
      </c>
      <c r="L23" s="116">
        <v>0</v>
      </c>
      <c r="M23" s="171">
        <v>2</v>
      </c>
      <c r="N23" s="136">
        <f t="shared" si="56"/>
        <v>10000</v>
      </c>
      <c r="O23" s="118">
        <f t="shared" si="57"/>
        <v>10000</v>
      </c>
      <c r="P23" s="119">
        <v>0</v>
      </c>
      <c r="Q23" s="171">
        <v>0</v>
      </c>
      <c r="R23" s="137">
        <f t="shared" si="58"/>
        <v>0</v>
      </c>
      <c r="S23" s="122">
        <f t="shared" si="59"/>
        <v>0</v>
      </c>
      <c r="T23" s="123">
        <v>0</v>
      </c>
      <c r="U23" s="171">
        <v>0</v>
      </c>
      <c r="V23" s="138">
        <f t="shared" si="60"/>
        <v>0</v>
      </c>
      <c r="W23" s="125">
        <f t="shared" si="61"/>
        <v>0</v>
      </c>
      <c r="X23" s="126">
        <v>0</v>
      </c>
      <c r="Y23" s="171">
        <v>0</v>
      </c>
      <c r="Z23" s="139">
        <f t="shared" si="62"/>
        <v>0</v>
      </c>
      <c r="AA23" s="128">
        <f t="shared" si="63"/>
        <v>0</v>
      </c>
      <c r="AB23" s="129">
        <v>0</v>
      </c>
      <c r="AC23" s="130">
        <f t="shared" si="64"/>
        <v>10000</v>
      </c>
      <c r="AD23" s="131">
        <f t="shared" si="65"/>
        <v>10000</v>
      </c>
      <c r="AE23" s="132"/>
      <c r="AF23" s="133">
        <f t="shared" si="14"/>
        <v>19</v>
      </c>
      <c r="AG23" s="133"/>
      <c r="AH23" s="133"/>
    </row>
    <row r="24" spans="1:34" ht="15.75" customHeight="1">
      <c r="A24" s="141" t="s">
        <v>105</v>
      </c>
      <c r="B24" s="172"/>
      <c r="C24" s="192"/>
      <c r="D24" s="192"/>
      <c r="E24" s="144"/>
      <c r="F24" s="145"/>
      <c r="G24" s="146" t="s">
        <v>80</v>
      </c>
      <c r="H24" s="147" t="s">
        <v>106</v>
      </c>
      <c r="I24" s="148"/>
      <c r="J24" s="149"/>
      <c r="K24" s="150" t="s">
        <v>80</v>
      </c>
      <c r="L24" s="151" t="s">
        <v>106</v>
      </c>
      <c r="M24" s="152"/>
      <c r="N24" s="153"/>
      <c r="O24" s="154" t="s">
        <v>80</v>
      </c>
      <c r="P24" s="155" t="s">
        <v>106</v>
      </c>
      <c r="Q24" s="156"/>
      <c r="R24" s="157"/>
      <c r="S24" s="158" t="s">
        <v>80</v>
      </c>
      <c r="T24" s="159" t="s">
        <v>106</v>
      </c>
      <c r="U24" s="160"/>
      <c r="V24" s="161"/>
      <c r="W24" s="162" t="s">
        <v>80</v>
      </c>
      <c r="X24" s="163" t="s">
        <v>106</v>
      </c>
      <c r="Y24" s="164"/>
      <c r="Z24" s="165"/>
      <c r="AA24" s="166" t="s">
        <v>80</v>
      </c>
      <c r="AB24" s="167" t="s">
        <v>106</v>
      </c>
      <c r="AC24" s="168" t="s">
        <v>107</v>
      </c>
      <c r="AD24" s="131"/>
      <c r="AE24" s="132"/>
      <c r="AF24" s="133">
        <f t="shared" si="14"/>
        <v>20</v>
      </c>
      <c r="AG24" s="133"/>
      <c r="AH24" s="133"/>
    </row>
    <row r="25" spans="1:34" ht="15.75" customHeight="1">
      <c r="A25" s="107" t="s">
        <v>108</v>
      </c>
      <c r="B25" s="108" t="s">
        <v>109</v>
      </c>
      <c r="C25" s="192"/>
      <c r="D25" s="192"/>
      <c r="E25" s="144"/>
      <c r="F25" s="145"/>
      <c r="G25" s="193">
        <f t="shared" ref="G25:H25" si="66">SUM(G4:G6)</f>
        <v>20000</v>
      </c>
      <c r="H25" s="194">
        <f t="shared" si="66"/>
        <v>60</v>
      </c>
      <c r="I25" s="148"/>
      <c r="J25" s="149"/>
      <c r="K25" s="195">
        <f t="shared" ref="K25:L25" si="67">SUM(K4:K6)</f>
        <v>10000</v>
      </c>
      <c r="L25" s="196">
        <f t="shared" si="67"/>
        <v>30</v>
      </c>
      <c r="M25" s="152"/>
      <c r="N25" s="153"/>
      <c r="O25" s="197">
        <f t="shared" ref="O25:P25" si="68">SUM(O4:O6)</f>
        <v>20000</v>
      </c>
      <c r="P25" s="198">
        <f t="shared" si="68"/>
        <v>60</v>
      </c>
      <c r="Q25" s="156"/>
      <c r="R25" s="157"/>
      <c r="S25" s="199">
        <f t="shared" ref="S25:T25" si="69">SUM(S4:S6)</f>
        <v>40000</v>
      </c>
      <c r="T25" s="200">
        <f t="shared" si="69"/>
        <v>120</v>
      </c>
      <c r="U25" s="160"/>
      <c r="V25" s="161"/>
      <c r="W25" s="201">
        <f t="shared" ref="W25:X25" si="70">SUM(W4:W6)</f>
        <v>20000</v>
      </c>
      <c r="X25" s="202">
        <f t="shared" si="70"/>
        <v>96</v>
      </c>
      <c r="Y25" s="164"/>
      <c r="Z25" s="165"/>
      <c r="AA25" s="203">
        <f t="shared" ref="AA25:AB25" si="71">SUM(AA4:AA6)</f>
        <v>20000</v>
      </c>
      <c r="AB25" s="204">
        <f t="shared" si="71"/>
        <v>60</v>
      </c>
      <c r="AC25" s="168"/>
      <c r="AD25" s="131"/>
      <c r="AE25" s="132"/>
      <c r="AF25" s="133">
        <f t="shared" si="14"/>
        <v>21</v>
      </c>
      <c r="AG25" s="133"/>
      <c r="AH25" s="133"/>
    </row>
    <row r="26" spans="1:34" ht="15.75" customHeight="1">
      <c r="A26" s="107" t="s">
        <v>110</v>
      </c>
      <c r="B26" s="108" t="s">
        <v>111</v>
      </c>
      <c r="C26" s="107"/>
      <c r="D26" s="107"/>
      <c r="E26" s="205"/>
      <c r="F26" s="112"/>
      <c r="G26" s="112">
        <f t="shared" ref="G26:H26" si="72">G13</f>
        <v>0</v>
      </c>
      <c r="H26" s="113">
        <f t="shared" si="72"/>
        <v>0</v>
      </c>
      <c r="I26" s="206"/>
      <c r="J26" s="115"/>
      <c r="K26" s="115">
        <f t="shared" ref="K26:L26" si="73">K13</f>
        <v>10000</v>
      </c>
      <c r="L26" s="116">
        <f t="shared" si="73"/>
        <v>30</v>
      </c>
      <c r="M26" s="207"/>
      <c r="N26" s="118"/>
      <c r="O26" s="118">
        <f t="shared" ref="O26:P26" si="74">O13</f>
        <v>0</v>
      </c>
      <c r="P26" s="119">
        <f t="shared" si="74"/>
        <v>0</v>
      </c>
      <c r="Q26" s="208"/>
      <c r="R26" s="122"/>
      <c r="S26" s="122">
        <f t="shared" ref="S26:T26" si="75">S13</f>
        <v>0</v>
      </c>
      <c r="T26" s="123">
        <f t="shared" si="75"/>
        <v>0</v>
      </c>
      <c r="U26" s="209"/>
      <c r="V26" s="125"/>
      <c r="W26" s="125">
        <f t="shared" ref="W26:X26" si="76">W13</f>
        <v>15000</v>
      </c>
      <c r="X26" s="126">
        <f t="shared" si="76"/>
        <v>45</v>
      </c>
      <c r="Y26" s="210"/>
      <c r="Z26" s="128"/>
      <c r="AA26" s="128">
        <f t="shared" ref="AA26:AB26" si="77">AA13</f>
        <v>0</v>
      </c>
      <c r="AB26" s="129">
        <f t="shared" si="77"/>
        <v>0</v>
      </c>
      <c r="AC26" s="130">
        <f t="shared" ref="AC26:AC30" si="78">H26+L26+P26+T26+X26+AB26</f>
        <v>75</v>
      </c>
      <c r="AD26" s="131">
        <f t="shared" ref="AD26:AD30" si="79">G26+K26+O26+S26+W26+AA26</f>
        <v>25000</v>
      </c>
      <c r="AE26" s="132"/>
      <c r="AF26" s="133">
        <f t="shared" si="14"/>
        <v>22</v>
      </c>
      <c r="AG26" s="133"/>
      <c r="AH26" s="133"/>
    </row>
    <row r="27" spans="1:34" ht="15.75" customHeight="1">
      <c r="A27" s="107" t="s">
        <v>112</v>
      </c>
      <c r="B27" s="108" t="s">
        <v>113</v>
      </c>
      <c r="C27" s="107"/>
      <c r="D27" s="107"/>
      <c r="E27" s="205"/>
      <c r="F27" s="112"/>
      <c r="G27" s="112">
        <f t="shared" ref="G27:H27" si="80">G9+G10</f>
        <v>15000</v>
      </c>
      <c r="H27" s="113">
        <f t="shared" si="80"/>
        <v>120</v>
      </c>
      <c r="I27" s="206"/>
      <c r="J27" s="115"/>
      <c r="K27" s="115">
        <f t="shared" ref="K27:L27" si="81">K9+K10</f>
        <v>15000</v>
      </c>
      <c r="L27" s="116">
        <f t="shared" si="81"/>
        <v>120</v>
      </c>
      <c r="M27" s="207"/>
      <c r="N27" s="118"/>
      <c r="O27" s="118">
        <f t="shared" ref="O27:P27" si="82">O9+O10</f>
        <v>15000</v>
      </c>
      <c r="P27" s="119">
        <f t="shared" si="82"/>
        <v>120</v>
      </c>
      <c r="Q27" s="208"/>
      <c r="R27" s="122"/>
      <c r="S27" s="122">
        <f t="shared" ref="S27:T27" si="83">S9+S10</f>
        <v>0</v>
      </c>
      <c r="T27" s="123">
        <f t="shared" si="83"/>
        <v>0</v>
      </c>
      <c r="U27" s="209"/>
      <c r="V27" s="125"/>
      <c r="W27" s="125">
        <f t="shared" ref="W27:X27" si="84">W9+W10</f>
        <v>0</v>
      </c>
      <c r="X27" s="126">
        <f t="shared" si="84"/>
        <v>0</v>
      </c>
      <c r="Y27" s="210"/>
      <c r="Z27" s="128"/>
      <c r="AA27" s="128">
        <f t="shared" ref="AA27:AB27" si="85">AA9+AA10</f>
        <v>0</v>
      </c>
      <c r="AB27" s="129">
        <f t="shared" si="85"/>
        <v>0</v>
      </c>
      <c r="AC27" s="130">
        <f t="shared" si="78"/>
        <v>360</v>
      </c>
      <c r="AD27" s="131">
        <f t="shared" si="79"/>
        <v>45000</v>
      </c>
      <c r="AE27" s="132"/>
      <c r="AF27" s="133">
        <f t="shared" si="14"/>
        <v>23</v>
      </c>
      <c r="AG27" s="133"/>
      <c r="AH27" s="133"/>
    </row>
    <row r="28" spans="1:34" ht="15.75" customHeight="1">
      <c r="A28" s="107" t="s">
        <v>114</v>
      </c>
      <c r="B28" s="108" t="s">
        <v>113</v>
      </c>
      <c r="C28" s="107"/>
      <c r="D28" s="107"/>
      <c r="E28" s="205"/>
      <c r="F28" s="112"/>
      <c r="G28" s="112">
        <f t="shared" ref="G28:H28" si="86">G11</f>
        <v>0</v>
      </c>
      <c r="H28" s="113">
        <f t="shared" si="86"/>
        <v>0</v>
      </c>
      <c r="I28" s="206"/>
      <c r="J28" s="115"/>
      <c r="K28" s="115">
        <f t="shared" ref="K28:L28" si="87">K11</f>
        <v>30000</v>
      </c>
      <c r="L28" s="116">
        <f t="shared" si="87"/>
        <v>480</v>
      </c>
      <c r="M28" s="207"/>
      <c r="N28" s="118"/>
      <c r="O28" s="118">
        <f t="shared" ref="O28:P28" si="88">O11</f>
        <v>0</v>
      </c>
      <c r="P28" s="119">
        <f t="shared" si="88"/>
        <v>0</v>
      </c>
      <c r="Q28" s="208"/>
      <c r="R28" s="122"/>
      <c r="S28" s="122">
        <f t="shared" ref="S28:T28" si="89">S11</f>
        <v>0</v>
      </c>
      <c r="T28" s="123">
        <f t="shared" si="89"/>
        <v>0</v>
      </c>
      <c r="U28" s="209"/>
      <c r="V28" s="125"/>
      <c r="W28" s="125">
        <f t="shared" ref="W28:X28" si="90">W11</f>
        <v>0</v>
      </c>
      <c r="X28" s="126">
        <f t="shared" si="90"/>
        <v>0</v>
      </c>
      <c r="Y28" s="210"/>
      <c r="Z28" s="128"/>
      <c r="AA28" s="128">
        <f t="shared" ref="AA28:AB28" si="91">AA11</f>
        <v>0</v>
      </c>
      <c r="AB28" s="129">
        <f t="shared" si="91"/>
        <v>0</v>
      </c>
      <c r="AC28" s="130">
        <f t="shared" si="78"/>
        <v>480</v>
      </c>
      <c r="AD28" s="131">
        <f t="shared" si="79"/>
        <v>30000</v>
      </c>
      <c r="AE28" s="132"/>
      <c r="AF28" s="133">
        <f t="shared" si="14"/>
        <v>24</v>
      </c>
      <c r="AG28" s="133"/>
      <c r="AH28" s="133"/>
    </row>
    <row r="29" spans="1:34" ht="15.75" customHeight="1">
      <c r="A29" s="107" t="s">
        <v>115</v>
      </c>
      <c r="B29" s="108" t="s">
        <v>116</v>
      </c>
      <c r="C29" s="107"/>
      <c r="D29" s="107"/>
      <c r="E29" s="205"/>
      <c r="F29" s="112"/>
      <c r="G29" s="112">
        <f>IF(E14=1,15000,0)</f>
        <v>15000</v>
      </c>
      <c r="H29" s="113">
        <f t="shared" ref="H29:H30" si="92">H14</f>
        <v>160</v>
      </c>
      <c r="I29" s="206"/>
      <c r="J29" s="115"/>
      <c r="K29" s="115">
        <f>IF(I14=1,15000,0)</f>
        <v>0</v>
      </c>
      <c r="L29" s="116">
        <f t="shared" ref="L29:L30" si="93">L14</f>
        <v>0</v>
      </c>
      <c r="M29" s="207"/>
      <c r="N29" s="118"/>
      <c r="O29" s="118">
        <f>IF(M14=1,15000,0)</f>
        <v>0</v>
      </c>
      <c r="P29" s="119">
        <f>P14</f>
        <v>0</v>
      </c>
      <c r="Q29" s="208"/>
      <c r="R29" s="122"/>
      <c r="S29" s="122">
        <f>IF(Q14=1,15000,0)</f>
        <v>0</v>
      </c>
      <c r="T29" s="123">
        <f>T14</f>
        <v>0</v>
      </c>
      <c r="U29" s="209"/>
      <c r="V29" s="125"/>
      <c r="W29" s="125">
        <f>IF(U14=1,15000,0)</f>
        <v>0</v>
      </c>
      <c r="X29" s="126">
        <f>X14</f>
        <v>0</v>
      </c>
      <c r="Y29" s="210"/>
      <c r="Z29" s="128"/>
      <c r="AA29" s="128">
        <f>IF(Y14=1,15000,0)</f>
        <v>0</v>
      </c>
      <c r="AB29" s="129">
        <f>AB14</f>
        <v>0</v>
      </c>
      <c r="AC29" s="130">
        <f t="shared" si="78"/>
        <v>160</v>
      </c>
      <c r="AD29" s="131">
        <f t="shared" si="79"/>
        <v>15000</v>
      </c>
      <c r="AE29" s="132"/>
      <c r="AF29" s="133"/>
      <c r="AG29" s="133"/>
      <c r="AH29" s="133"/>
    </row>
    <row r="30" spans="1:34" ht="15.75" customHeight="1">
      <c r="A30" s="107" t="s">
        <v>117</v>
      </c>
      <c r="B30" s="108" t="s">
        <v>118</v>
      </c>
      <c r="C30" s="211"/>
      <c r="D30" s="211"/>
      <c r="E30" s="212"/>
      <c r="F30" s="213"/>
      <c r="G30" s="213">
        <f>F15/4</f>
        <v>0</v>
      </c>
      <c r="H30" s="214">
        <f t="shared" si="92"/>
        <v>0</v>
      </c>
      <c r="I30" s="215"/>
      <c r="J30" s="216"/>
      <c r="K30" s="216">
        <f>J15/4</f>
        <v>0</v>
      </c>
      <c r="L30" s="217">
        <f t="shared" si="93"/>
        <v>0</v>
      </c>
      <c r="M30" s="218"/>
      <c r="N30" s="219"/>
      <c r="O30" s="219"/>
      <c r="P30" s="220"/>
      <c r="Q30" s="221"/>
      <c r="R30" s="222"/>
      <c r="S30" s="222"/>
      <c r="T30" s="223"/>
      <c r="U30" s="224"/>
      <c r="V30" s="225"/>
      <c r="W30" s="225"/>
      <c r="X30" s="226"/>
      <c r="Y30" s="227"/>
      <c r="Z30" s="228"/>
      <c r="AA30" s="228"/>
      <c r="AB30" s="229"/>
      <c r="AC30" s="230">
        <f t="shared" si="78"/>
        <v>0</v>
      </c>
      <c r="AD30" s="231">
        <f t="shared" si="79"/>
        <v>0</v>
      </c>
      <c r="AE30" s="132"/>
      <c r="AF30" s="133"/>
      <c r="AG30" s="133"/>
      <c r="AH30" s="133"/>
    </row>
    <row r="31" spans="1:34" ht="15.75" customHeight="1">
      <c r="A31" s="141" t="s">
        <v>119</v>
      </c>
      <c r="B31" s="232"/>
      <c r="C31" s="233"/>
      <c r="D31" s="233"/>
      <c r="F31" s="234" t="s">
        <v>120</v>
      </c>
      <c r="G31" s="235">
        <f>SUM(G4:G30)-G25</f>
        <v>120000</v>
      </c>
      <c r="J31" s="236" t="s">
        <v>120</v>
      </c>
      <c r="K31" s="237">
        <f>SUM(K4:K30)-K25</f>
        <v>140000</v>
      </c>
      <c r="N31" s="238" t="s">
        <v>120</v>
      </c>
      <c r="O31" s="239">
        <f>SUM(O4:O30)-O25</f>
        <v>80000</v>
      </c>
      <c r="R31" s="240" t="s">
        <v>120</v>
      </c>
      <c r="S31" s="241">
        <f>SUM(S4:S30)-S25</f>
        <v>80000</v>
      </c>
      <c r="V31" s="242" t="s">
        <v>120</v>
      </c>
      <c r="W31" s="243">
        <f>SUM(W4:W30)-W25</f>
        <v>60000</v>
      </c>
      <c r="Z31" s="244" t="s">
        <v>120</v>
      </c>
      <c r="AA31" s="245">
        <f>SUM(AA4:AA30)-AA25</f>
        <v>40000</v>
      </c>
      <c r="AC31" s="236" t="s">
        <v>120</v>
      </c>
      <c r="AD31" s="237">
        <f>SUM(AD4:AD30)</f>
        <v>520000</v>
      </c>
      <c r="AE31" s="132"/>
      <c r="AF31" s="133"/>
      <c r="AG31" s="133"/>
      <c r="AH31" s="133"/>
    </row>
    <row r="32" spans="1:34" ht="15.75" customHeight="1">
      <c r="A32" s="246"/>
      <c r="B32" s="247"/>
      <c r="C32" s="248"/>
      <c r="D32" s="248"/>
      <c r="E32" s="248"/>
      <c r="F32" s="249" t="s">
        <v>121</v>
      </c>
      <c r="G32" s="250">
        <v>120000</v>
      </c>
      <c r="H32" s="251"/>
      <c r="I32" s="248"/>
      <c r="J32" s="252" t="s">
        <v>121</v>
      </c>
      <c r="K32" s="253">
        <v>120000</v>
      </c>
      <c r="L32" s="251"/>
      <c r="M32" s="248"/>
      <c r="N32" s="254" t="s">
        <v>121</v>
      </c>
      <c r="O32" s="255">
        <v>80000</v>
      </c>
      <c r="P32" s="251"/>
      <c r="Q32" s="248"/>
      <c r="R32" s="256" t="s">
        <v>121</v>
      </c>
      <c r="S32" s="257">
        <v>80000</v>
      </c>
      <c r="T32" s="251"/>
      <c r="U32" s="248"/>
      <c r="V32" s="258" t="s">
        <v>121</v>
      </c>
      <c r="W32" s="259">
        <v>60000</v>
      </c>
      <c r="X32" s="251"/>
      <c r="Y32" s="248"/>
      <c r="Z32" s="260" t="s">
        <v>121</v>
      </c>
      <c r="AA32" s="261">
        <v>40000</v>
      </c>
      <c r="AB32" s="251"/>
      <c r="AC32" s="252" t="s">
        <v>121</v>
      </c>
      <c r="AD32" s="253">
        <f>G32+K32+O32+S32+W32+AA32</f>
        <v>500000</v>
      </c>
      <c r="AE32" s="132"/>
      <c r="AF32" s="133"/>
      <c r="AG32" s="133"/>
      <c r="AH32" s="133"/>
    </row>
    <row r="33" spans="1:34" ht="15.75" customHeight="1">
      <c r="A33" s="262"/>
      <c r="B33" s="263"/>
      <c r="C33" s="107"/>
      <c r="D33" s="107"/>
      <c r="E33" s="107"/>
      <c r="F33" s="264" t="s">
        <v>122</v>
      </c>
      <c r="G33" s="265">
        <f>G31-G32</f>
        <v>0</v>
      </c>
      <c r="H33" s="2"/>
      <c r="I33" s="107"/>
      <c r="J33" s="266" t="s">
        <v>122</v>
      </c>
      <c r="K33" s="267">
        <f>K31-K32</f>
        <v>20000</v>
      </c>
      <c r="L33" s="2"/>
      <c r="M33" s="107"/>
      <c r="N33" s="268" t="s">
        <v>122</v>
      </c>
      <c r="O33" s="269">
        <f>O31-O32</f>
        <v>0</v>
      </c>
      <c r="P33" s="2"/>
      <c r="Q33" s="107"/>
      <c r="R33" s="270" t="s">
        <v>122</v>
      </c>
      <c r="S33" s="271">
        <f>S31-S32</f>
        <v>0</v>
      </c>
      <c r="T33" s="2"/>
      <c r="U33" s="107"/>
      <c r="V33" s="272" t="s">
        <v>122</v>
      </c>
      <c r="W33" s="273">
        <f>W31-W32</f>
        <v>0</v>
      </c>
      <c r="X33" s="2"/>
      <c r="Y33" s="107"/>
      <c r="Z33" s="274" t="s">
        <v>122</v>
      </c>
      <c r="AA33" s="275">
        <f>AA31-AA32</f>
        <v>0</v>
      </c>
      <c r="AB33" s="2"/>
      <c r="AC33" s="266" t="s">
        <v>122</v>
      </c>
      <c r="AD33" s="267">
        <f>AD31-AD32</f>
        <v>20000</v>
      </c>
      <c r="AE33" s="132"/>
      <c r="AF33" s="132"/>
      <c r="AG33" s="132"/>
      <c r="AH33" s="132"/>
    </row>
    <row r="34" spans="1:34" ht="15.75" customHeight="1">
      <c r="A34" s="107"/>
      <c r="B34" s="276"/>
      <c r="C34" s="107"/>
      <c r="D34" s="107"/>
      <c r="E34" s="107"/>
      <c r="F34" s="277"/>
      <c r="G34" s="278" t="str">
        <f>IF(G31=G32,"Fully Built Out",IF(G31&gt;G32,"Overbuilt","Underbuilt"))</f>
        <v>Fully Built Out</v>
      </c>
      <c r="H34" s="2"/>
      <c r="I34" s="107"/>
      <c r="J34" s="279"/>
      <c r="K34" s="280" t="str">
        <f>IF(K31=K32,"Fully Built Out",IF(K31&gt;K32,"Overbuilt","Underbuilt"))</f>
        <v>Overbuilt</v>
      </c>
      <c r="L34" s="2"/>
      <c r="M34" s="107"/>
      <c r="N34" s="281"/>
      <c r="O34" s="282" t="str">
        <f>IF(O31=O32,"Fully Built Out",IF(O31&gt;O32,"Overbuilt","Underbuilt"))</f>
        <v>Fully Built Out</v>
      </c>
      <c r="P34" s="2"/>
      <c r="Q34" s="107"/>
      <c r="R34" s="283"/>
      <c r="S34" s="284" t="str">
        <f>IF(S31=S32,"Fully Built Out",IF(S31&gt;S32,"Overbuilt","Underbuilt"))</f>
        <v>Fully Built Out</v>
      </c>
      <c r="T34" s="2"/>
      <c r="U34" s="107"/>
      <c r="V34" s="285"/>
      <c r="W34" s="286" t="str">
        <f>IF(W31=W32,"Fully Built Out",IF(W31&gt;W32,"Overbuilt","Underbuilt"))</f>
        <v>Fully Built Out</v>
      </c>
      <c r="X34" s="2"/>
      <c r="Y34" s="107"/>
      <c r="Z34" s="287"/>
      <c r="AA34" s="288" t="str">
        <f>IF(AA31=AA32,"Fully Built Out",IF(AA31&gt;AA32,"Overbuilt","Underbuilt"))</f>
        <v>Fully Built Out</v>
      </c>
      <c r="AB34" s="2"/>
      <c r="AC34" s="279"/>
      <c r="AD34" s="280" t="str">
        <f>IF(AD31=AD32,"Fully Built Out",IF(AD31&gt;AD32,"Overbuilt","Underbuilt"))</f>
        <v>Overbuilt</v>
      </c>
      <c r="AE34" s="289"/>
      <c r="AF34" s="289"/>
      <c r="AG34" s="289"/>
      <c r="AH34" s="289"/>
    </row>
    <row r="35" spans="1:34" ht="15.75" customHeight="1">
      <c r="A35" s="107"/>
      <c r="B35" s="290"/>
      <c r="C35" s="107"/>
      <c r="D35" s="107"/>
      <c r="E35" s="107"/>
      <c r="F35" s="10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15.75" customHeight="1">
      <c r="A36" s="7"/>
      <c r="B36" s="7"/>
      <c r="C36" s="107"/>
      <c r="D36" s="107"/>
      <c r="E36" s="107"/>
      <c r="F36" s="107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15.75" customHeight="1">
      <c r="A37" s="7"/>
      <c r="B37" s="7"/>
      <c r="C37" s="7"/>
      <c r="D37" s="107"/>
      <c r="E37" s="107"/>
      <c r="F37" s="107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15.75" customHeight="1">
      <c r="A38" s="107"/>
      <c r="B38" s="276"/>
      <c r="C38" s="107"/>
      <c r="D38" s="107"/>
      <c r="E38" s="107"/>
      <c r="F38" s="107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15.75" customHeight="1">
      <c r="A39" s="107"/>
      <c r="B39" s="276"/>
      <c r="C39" s="107"/>
      <c r="D39" s="107"/>
      <c r="E39" s="107"/>
      <c r="F39" s="107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15.75" hidden="1" customHeight="1">
      <c r="A40" s="107"/>
      <c r="B40" s="276"/>
      <c r="C40" s="107"/>
      <c r="D40" s="107"/>
      <c r="E40" s="107"/>
      <c r="F40" s="107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15.75" customHeight="1">
      <c r="A41" s="107"/>
      <c r="B41" s="276"/>
      <c r="C41" s="107"/>
      <c r="D41" s="107"/>
      <c r="E41" s="107"/>
      <c r="F41" s="107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15.75" customHeight="1"/>
    <row r="43" spans="1:34" ht="15.75" customHeight="1"/>
    <row r="44" spans="1:34" ht="15.75" customHeight="1"/>
    <row r="45" spans="1:34" ht="15.75" customHeight="1"/>
    <row r="46" spans="1:34" ht="15.75" customHeight="1"/>
    <row r="47" spans="1:34" ht="15.75" customHeight="1"/>
    <row r="48" spans="1:3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Y2:AB2"/>
    <mergeCell ref="E2:H2"/>
    <mergeCell ref="I2:L2"/>
    <mergeCell ref="M2:P2"/>
    <mergeCell ref="Q2:T2"/>
    <mergeCell ref="U2:X2"/>
  </mergeCells>
  <dataValidations count="27">
    <dataValidation type="list" allowBlank="1" showInputMessage="1" prompt="Please press CANCEL and select entry from dropdown box." sqref="U9 U11" xr:uid="{00000000-0002-0000-0200-000000000000}">
      <formula1>$AF$4:$AF$6</formula1>
    </dataValidation>
    <dataValidation type="list" allowBlank="1" showErrorMessage="1" sqref="Q13" xr:uid="{00000000-0002-0000-0200-000001000000}">
      <formula1>$AH$4:$AH$11</formula1>
    </dataValidation>
    <dataValidation type="list" allowBlank="1" showInputMessage="1" showErrorMessage="1" prompt="Click and enter a value from range 'Development by Block'!AH4:AH12" sqref="Q22" xr:uid="{00000000-0002-0000-0200-000002000000}">
      <formula1>$AG$4:$AG$12</formula1>
    </dataValidation>
    <dataValidation type="list" allowBlank="1" showErrorMessage="1" sqref="E4:E5 I4:I5" xr:uid="{00000000-0002-0000-0200-000003000000}">
      <formula1>$AF$4:$AF$16</formula1>
    </dataValidation>
    <dataValidation type="list" allowBlank="1" showInputMessage="1" showErrorMessage="1" prompt="Please press CANCEL and select entry from dropdown box." sqref="E9 I9 E11 I11" xr:uid="{00000000-0002-0000-0200-000004000000}">
      <formula1>$AF$4:$AF$8</formula1>
    </dataValidation>
    <dataValidation type="list" allowBlank="1" showInputMessage="1" showErrorMessage="1" prompt="Please press CANCEL and select entry from dropdown box." sqref="U21 Y21" xr:uid="{00000000-0002-0000-0200-000005000000}">
      <formula1>$AF$4:$AF$12</formula1>
    </dataValidation>
    <dataValidation type="list" allowBlank="1" showInputMessage="1" showErrorMessage="1" prompt="Please press CANCEL and select entry from dropdown box." sqref="E7 I7 M7 Q7 U7 Y7 M10 Y9:Y11 M14 Q14 U14 Y14 E14:E15 I14:I15 I17 Q19" xr:uid="{00000000-0002-0000-0200-000006000000}">
      <formula1>$AF$4:$AF$5</formula1>
    </dataValidation>
    <dataValidation type="list" allowBlank="1" showInputMessage="1" showErrorMessage="1" prompt="Please press CANCEL and select entry from dropdown box." sqref="E22:E23 I22:I23" xr:uid="{00000000-0002-0000-0200-000007000000}">
      <formula1>$AG$4:$AG$16</formula1>
    </dataValidation>
    <dataValidation type="list" allowBlank="1" showInputMessage="1" prompt="Please press CANCEL and select entry from dropdown box." sqref="M22:M23" xr:uid="{00000000-0002-0000-0200-000008000000}">
      <formula1>$AG$4:$AG$10</formula1>
    </dataValidation>
    <dataValidation type="list" allowBlank="1" showInputMessage="1" prompt="Please press CANCEL and select entry from dropdown box." sqref="M21" xr:uid="{00000000-0002-0000-0200-000009000000}">
      <formula1>$AF$4:$AF$16</formula1>
    </dataValidation>
    <dataValidation type="list" allowBlank="1" showErrorMessage="1" sqref="M6 U6 Y6" xr:uid="{00000000-0002-0000-0200-00000A000000}">
      <formula1>$AF$4:$AF$7</formula1>
    </dataValidation>
    <dataValidation type="list" allowBlank="1" showErrorMessage="1" sqref="M4:M5 U4:U5" xr:uid="{00000000-0002-0000-0200-00000B000000}">
      <formula1>$AF$4:$AF$10</formula1>
    </dataValidation>
    <dataValidation type="list" allowBlank="1" showInputMessage="1" showErrorMessage="1" prompt="Please press CANCEL and select entry from dropdown box." sqref="Q21" xr:uid="{00000000-0002-0000-0200-00000C000000}">
      <formula1>$AF$4:$AF$20</formula1>
    </dataValidation>
    <dataValidation type="list" allowBlank="1" showInputMessage="1" showErrorMessage="1" prompt="Click and enter a value from range 'Development by Block'!AG4:AG7" sqref="E10 I10" xr:uid="{00000000-0002-0000-0200-00000D000000}">
      <formula1>$AF$4:$AF$7</formula1>
    </dataValidation>
    <dataValidation type="list" allowBlank="1" showErrorMessage="1" sqref="Y13" xr:uid="{00000000-0002-0000-0200-00000E000000}">
      <formula1>$AH$4:$AH$7</formula1>
    </dataValidation>
    <dataValidation type="list" allowBlank="1" showInputMessage="1" showErrorMessage="1" prompt="Please press CANCEL and select entry from dropdown box." sqref="E6 I6" xr:uid="{00000000-0002-0000-0200-00000F000000}">
      <formula1>$AF$4:$AF$10</formula1>
    </dataValidation>
    <dataValidation type="list" allowBlank="1" showErrorMessage="1" sqref="Q4:Q5" xr:uid="{00000000-0002-0000-0200-000010000000}">
      <formula1>$AF$4:$AF$12</formula1>
    </dataValidation>
    <dataValidation type="list" allowBlank="1" showInputMessage="1" showErrorMessage="1" prompt="Please press CANCEL and select entry from dropdown box." sqref="E21 I21" xr:uid="{00000000-0002-0000-0200-000011000000}">
      <formula1>$AF$4:$AF$28</formula1>
    </dataValidation>
    <dataValidation type="list" allowBlank="1" showInputMessage="1" showErrorMessage="1" prompt="Click and enter a value from range 'Development by Block'!AG4:AG6" sqref="Q9:Q11" xr:uid="{00000000-0002-0000-0200-000012000000}">
      <formula1>$AF$4:$AF$6</formula1>
    </dataValidation>
    <dataValidation type="list" allowBlank="1" showErrorMessage="1" sqref="E13 I13" xr:uid="{00000000-0002-0000-0200-000013000000}">
      <formula1>$AH$4:$AH$15</formula1>
    </dataValidation>
    <dataValidation type="list" allowBlank="1" showErrorMessage="1" sqref="M9" xr:uid="{00000000-0002-0000-0200-000014000000}">
      <formula1>$AF$4:$AF$6</formula1>
    </dataValidation>
    <dataValidation type="list" allowBlank="1" showInputMessage="1" showErrorMessage="1" prompt="Click and enter a value from range 'Development by Block'!AG4:AG5" sqref="U10" xr:uid="{00000000-0002-0000-0200-000015000000}">
      <formula1>$AF$4:$AF$5</formula1>
    </dataValidation>
    <dataValidation type="list" allowBlank="1" showInputMessage="1" showErrorMessage="1" prompt="Please press CANCEL and select entry from dropdown box." sqref="Q23" xr:uid="{00000000-0002-0000-0200-000016000000}">
      <formula1>$AG$4:$AG$12</formula1>
    </dataValidation>
    <dataValidation type="list" allowBlank="1" showInputMessage="1" showErrorMessage="1" prompt="Please press CANCEL and select entry from dropdown box." sqref="M11" xr:uid="{00000000-0002-0000-0200-000017000000}">
      <formula1>$AF$4:$AF$6</formula1>
    </dataValidation>
    <dataValidation type="list" allowBlank="1" showInputMessage="1" showErrorMessage="1" prompt="Please press CANCEL and select entry from dropdown box." sqref="U22:U23 Y22:Y23" xr:uid="{00000000-0002-0000-0200-000018000000}">
      <formula1>$AG$4:$AG$8</formula1>
    </dataValidation>
    <dataValidation type="list" allowBlank="1" showErrorMessage="1" sqref="M13 U13" xr:uid="{00000000-0002-0000-0200-000019000000}">
      <formula1>$AH$4:$AH$9</formula1>
    </dataValidation>
    <dataValidation type="list" allowBlank="1" showErrorMessage="1" sqref="Y4:Y5 Q6" xr:uid="{00000000-0002-0000-0200-00001A000000}">
      <formula1>$AF$4:$AF$8</formula1>
    </dataValidation>
  </dataValidations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  <outlinePr summaryBelow="0" summaryRight="0"/>
  </sheetPr>
  <dimension ref="A1:K1000"/>
  <sheetViews>
    <sheetView showGridLines="0"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55.42578125" customWidth="1"/>
    <col min="2" max="7" width="14.42578125" customWidth="1"/>
    <col min="8" max="8" width="5" customWidth="1"/>
    <col min="9" max="10" width="8" hidden="1" customWidth="1"/>
    <col min="11" max="11" width="9.42578125" customWidth="1"/>
    <col min="12" max="26" width="17.28515625" customWidth="1"/>
  </cols>
  <sheetData>
    <row r="1" spans="1:11" ht="14.25" customHeight="1">
      <c r="A1" s="291" t="s">
        <v>123</v>
      </c>
      <c r="B1" s="18"/>
      <c r="C1" s="18"/>
      <c r="D1" s="18"/>
      <c r="E1" s="18"/>
      <c r="F1" s="18"/>
      <c r="G1" s="18"/>
      <c r="H1" s="18"/>
      <c r="I1" s="292"/>
      <c r="J1" s="292"/>
      <c r="K1" s="18"/>
    </row>
    <row r="2" spans="1:11" ht="15.75" customHeight="1">
      <c r="A2" s="293"/>
      <c r="B2" s="294"/>
      <c r="C2" s="295"/>
      <c r="D2" s="295"/>
      <c r="E2" s="295"/>
      <c r="F2" s="295"/>
      <c r="G2" s="296"/>
      <c r="H2" s="7"/>
      <c r="I2" s="292"/>
      <c r="J2" s="297"/>
      <c r="K2" s="2"/>
    </row>
    <row r="3" spans="1:11" ht="15.75" customHeight="1">
      <c r="A3" s="18"/>
      <c r="B3" s="18"/>
      <c r="C3" s="18"/>
      <c r="D3" s="18"/>
      <c r="E3" s="18"/>
      <c r="F3" s="18"/>
      <c r="G3" s="18"/>
      <c r="H3" s="18"/>
      <c r="I3" s="292"/>
      <c r="J3" s="292"/>
      <c r="K3" s="18"/>
    </row>
    <row r="4" spans="1:11" ht="15.75" customHeight="1">
      <c r="A4" s="293" t="s">
        <v>124</v>
      </c>
      <c r="B4" s="298"/>
      <c r="C4" s="299" t="s">
        <v>125</v>
      </c>
      <c r="D4" s="299" t="s">
        <v>126</v>
      </c>
      <c r="E4" s="299"/>
      <c r="F4" s="299" t="s">
        <v>127</v>
      </c>
      <c r="G4" s="300"/>
      <c r="H4" s="18"/>
      <c r="I4" s="292"/>
      <c r="J4" s="292"/>
      <c r="K4" s="18"/>
    </row>
    <row r="5" spans="1:11" ht="15.75" customHeight="1">
      <c r="A5" s="301" t="s">
        <v>128</v>
      </c>
      <c r="B5" s="302"/>
      <c r="C5" s="303">
        <v>0</v>
      </c>
      <c r="D5" s="304">
        <f t="shared" ref="D5:D6" si="0">100%-C5</f>
        <v>1</v>
      </c>
      <c r="E5" s="304"/>
      <c r="F5" s="304">
        <f t="shared" ref="F5:F6" si="1">IF((C5+D5)&gt;1, "OVER ALLOCATED", (C5+D5))</f>
        <v>1</v>
      </c>
      <c r="G5" s="305"/>
      <c r="H5" s="306"/>
      <c r="I5" s="307"/>
      <c r="J5" s="292"/>
      <c r="K5" s="18"/>
    </row>
    <row r="6" spans="1:11" ht="15.75" customHeight="1">
      <c r="A6" s="308" t="s">
        <v>129</v>
      </c>
      <c r="B6" s="309"/>
      <c r="C6" s="310">
        <v>0</v>
      </c>
      <c r="D6" s="311">
        <f t="shared" si="0"/>
        <v>1</v>
      </c>
      <c r="E6" s="311"/>
      <c r="F6" s="312">
        <f t="shared" si="1"/>
        <v>1</v>
      </c>
      <c r="G6" s="313"/>
      <c r="H6" s="306"/>
      <c r="I6" s="307"/>
      <c r="J6" s="292"/>
      <c r="K6" s="18"/>
    </row>
    <row r="7" spans="1:11" ht="15.75" customHeight="1">
      <c r="A7" s="8"/>
      <c r="B7" s="8"/>
      <c r="C7" s="8"/>
      <c r="D7" s="8"/>
      <c r="E7" s="8"/>
      <c r="F7" s="8"/>
      <c r="G7" s="314"/>
      <c r="H7" s="306"/>
      <c r="I7" s="307"/>
      <c r="J7" s="292"/>
      <c r="K7" s="18"/>
    </row>
    <row r="8" spans="1:11" ht="15.75" customHeight="1">
      <c r="A8" s="315" t="s">
        <v>130</v>
      </c>
      <c r="B8" s="316"/>
      <c r="C8" s="317"/>
      <c r="D8" s="317"/>
      <c r="E8" s="317"/>
      <c r="F8" s="317"/>
      <c r="G8" s="318"/>
      <c r="H8" s="18"/>
      <c r="I8" s="292"/>
      <c r="J8" s="292"/>
      <c r="K8" s="18"/>
    </row>
    <row r="9" spans="1:11" ht="15.75" customHeight="1">
      <c r="A9" s="319"/>
      <c r="B9" s="320"/>
      <c r="C9" s="321"/>
      <c r="D9" s="321"/>
      <c r="E9" s="321"/>
      <c r="F9" s="321"/>
      <c r="G9" s="318"/>
      <c r="H9" s="18"/>
      <c r="I9" s="292"/>
      <c r="J9" s="292"/>
      <c r="K9" s="18"/>
    </row>
    <row r="10" spans="1:11" ht="15.75" customHeight="1">
      <c r="A10" s="322" t="s">
        <v>131</v>
      </c>
      <c r="B10" s="323" t="s">
        <v>21</v>
      </c>
      <c r="C10" s="324" t="s">
        <v>26</v>
      </c>
      <c r="D10" s="324" t="s">
        <v>132</v>
      </c>
      <c r="E10" s="325" t="s">
        <v>89</v>
      </c>
      <c r="F10" s="325" t="s">
        <v>127</v>
      </c>
      <c r="G10" s="326" t="str">
        <f>IF('Development by Block'!J17=60000," REHABBED"," DEMOLISHED")</f>
        <v xml:space="preserve"> REHABBED</v>
      </c>
      <c r="H10" s="18"/>
      <c r="I10" s="292"/>
      <c r="J10" s="292"/>
      <c r="K10" s="18"/>
    </row>
    <row r="11" spans="1:11" ht="15.75" customHeight="1">
      <c r="A11" s="301" t="s">
        <v>133</v>
      </c>
      <c r="B11" s="302"/>
      <c r="C11" s="327">
        <v>0</v>
      </c>
      <c r="D11" s="328"/>
      <c r="E11" s="328">
        <f t="shared" ref="E11:E14" si="2">SUM(B11:D11)</f>
        <v>0</v>
      </c>
      <c r="F11" s="329">
        <f t="shared" ref="F11:F14" si="3">IF((B11+C11+D11)&gt;60000,"OVER ALLOCATED",(B11+C11+D11)/60000)</f>
        <v>0</v>
      </c>
      <c r="G11" s="330"/>
      <c r="H11" s="18"/>
      <c r="I11" s="292"/>
      <c r="J11" s="292"/>
      <c r="K11" s="18"/>
    </row>
    <row r="12" spans="1:11" ht="15.75" customHeight="1">
      <c r="A12" s="331" t="s">
        <v>134</v>
      </c>
      <c r="B12" s="332"/>
      <c r="C12" s="332"/>
      <c r="D12" s="333">
        <f>IF(AND(B13=0,C11=0,'Development by Block'!J17=60000),60000,0)</f>
        <v>60000</v>
      </c>
      <c r="E12" s="333">
        <f t="shared" si="2"/>
        <v>60000</v>
      </c>
      <c r="F12" s="334">
        <f t="shared" si="3"/>
        <v>1</v>
      </c>
      <c r="G12" s="335"/>
      <c r="H12" s="18"/>
      <c r="I12" s="292"/>
      <c r="J12" s="292"/>
      <c r="K12" s="18"/>
    </row>
    <row r="13" spans="1:11" ht="15.75" customHeight="1">
      <c r="A13" s="331" t="s">
        <v>135</v>
      </c>
      <c r="B13" s="336"/>
      <c r="C13" s="332"/>
      <c r="D13" s="333"/>
      <c r="E13" s="333">
        <f t="shared" si="2"/>
        <v>0</v>
      </c>
      <c r="F13" s="334">
        <f t="shared" si="3"/>
        <v>0</v>
      </c>
      <c r="G13" s="335" t="str">
        <f t="shared" ref="G13:G14" si="4">IF(AND(G9=" demolished",SUM(B13:C13)&gt;0),"Set Office and Retail to Zero","")</f>
        <v/>
      </c>
      <c r="H13" s="18"/>
      <c r="I13" s="292"/>
      <c r="J13" s="292"/>
      <c r="K13" s="18"/>
    </row>
    <row r="14" spans="1:11" ht="15.75" customHeight="1">
      <c r="A14" s="337" t="s">
        <v>43</v>
      </c>
      <c r="B14" s="338">
        <f t="shared" ref="B14:D14" si="5">SUM(B11:B13)</f>
        <v>0</v>
      </c>
      <c r="C14" s="339">
        <f t="shared" si="5"/>
        <v>0</v>
      </c>
      <c r="D14" s="340">
        <f t="shared" si="5"/>
        <v>60000</v>
      </c>
      <c r="E14" s="340">
        <f t="shared" si="2"/>
        <v>60000</v>
      </c>
      <c r="F14" s="341">
        <f t="shared" si="3"/>
        <v>1</v>
      </c>
      <c r="G14" s="342" t="str">
        <f t="shared" si="4"/>
        <v/>
      </c>
      <c r="H14" s="18"/>
      <c r="I14" s="292"/>
      <c r="J14" s="292"/>
      <c r="K14" s="18"/>
    </row>
    <row r="15" spans="1:11" ht="15.75" customHeight="1">
      <c r="A15" s="343"/>
      <c r="B15" s="344"/>
      <c r="C15" s="344"/>
      <c r="D15" s="344"/>
      <c r="E15" s="344"/>
      <c r="F15" s="345"/>
      <c r="G15" s="346"/>
      <c r="H15" s="18"/>
      <c r="I15" s="292"/>
      <c r="J15" s="292"/>
      <c r="K15" s="18"/>
    </row>
    <row r="16" spans="1:11" ht="15.75" customHeight="1">
      <c r="A16" s="347" t="s">
        <v>136</v>
      </c>
      <c r="B16" s="348" t="s">
        <v>21</v>
      </c>
      <c r="C16" s="348" t="s">
        <v>26</v>
      </c>
      <c r="D16" s="348" t="s">
        <v>137</v>
      </c>
      <c r="E16" s="348" t="s">
        <v>89</v>
      </c>
      <c r="F16" s="348" t="s">
        <v>127</v>
      </c>
      <c r="G16" s="349" t="str">
        <f>IF('Development by Block'!R19=60000,"REHABBED","DEMOLISHED")</f>
        <v>REHABBED</v>
      </c>
      <c r="H16" s="18"/>
      <c r="I16" s="292"/>
      <c r="J16" s="292"/>
      <c r="K16" s="18"/>
    </row>
    <row r="17" spans="1:11" ht="15.75" customHeight="1">
      <c r="A17" s="301" t="s">
        <v>133</v>
      </c>
      <c r="B17" s="350"/>
      <c r="C17" s="351">
        <v>18000</v>
      </c>
      <c r="D17" s="352"/>
      <c r="E17" s="352"/>
      <c r="F17" s="353">
        <f t="shared" ref="F17:F20" si="6">IF((B17+C17+D17)&gt;60000,"OVER ALLOCATED",(B17+C17+D17)/60000)</f>
        <v>0.3</v>
      </c>
      <c r="G17" s="330"/>
      <c r="H17" s="18"/>
      <c r="I17" s="292"/>
      <c r="J17" s="292"/>
      <c r="K17" s="18"/>
    </row>
    <row r="18" spans="1:11" ht="15.75" customHeight="1">
      <c r="A18" s="331" t="s">
        <v>138</v>
      </c>
      <c r="B18" s="354"/>
      <c r="C18" s="354"/>
      <c r="D18" s="355">
        <v>0</v>
      </c>
      <c r="E18" s="356"/>
      <c r="F18" s="357">
        <f t="shared" si="6"/>
        <v>0</v>
      </c>
      <c r="G18" s="335" t="str">
        <f>IF(AND($D$18=$D$36,$D$36&gt;0),"***Please Set Artist Stuidios Space to Zero and See Footnote 3***","")</f>
        <v/>
      </c>
      <c r="H18" s="18"/>
      <c r="I18" s="292"/>
      <c r="J18" s="292"/>
      <c r="K18" s="18"/>
    </row>
    <row r="19" spans="1:11" ht="15.75" customHeight="1">
      <c r="A19" s="331" t="s">
        <v>139</v>
      </c>
      <c r="B19" s="354"/>
      <c r="C19" s="354"/>
      <c r="D19" s="355">
        <v>0</v>
      </c>
      <c r="E19" s="356"/>
      <c r="F19" s="357">
        <f t="shared" si="6"/>
        <v>0</v>
      </c>
      <c r="G19" s="335" t="str">
        <f>IF(AND($D$19=$D$37,$D$37&gt;0),"*Please Set Univ. Classrooms Space to Zero and See Footnote 4*","")</f>
        <v/>
      </c>
      <c r="H19" s="18"/>
      <c r="I19" s="292"/>
      <c r="J19" s="292"/>
      <c r="K19" s="18"/>
    </row>
    <row r="20" spans="1:11" ht="15.75" customHeight="1">
      <c r="A20" s="358" t="s">
        <v>59</v>
      </c>
      <c r="B20" s="359">
        <f>IF('Development by Block'!R19=0,0,60000-SUM(B17:D19))</f>
        <v>42000</v>
      </c>
      <c r="C20" s="359"/>
      <c r="D20" s="360"/>
      <c r="E20" s="360"/>
      <c r="F20" s="361">
        <f t="shared" si="6"/>
        <v>0.7</v>
      </c>
      <c r="G20" s="362"/>
      <c r="H20" s="18"/>
      <c r="I20" s="292"/>
      <c r="J20" s="292"/>
      <c r="K20" s="18"/>
    </row>
    <row r="21" spans="1:11" ht="15.75" customHeight="1">
      <c r="A21" s="363" t="s">
        <v>43</v>
      </c>
      <c r="B21" s="364">
        <f t="shared" ref="B21:D21" si="7">SUM(B17:B20)</f>
        <v>42000</v>
      </c>
      <c r="C21" s="364">
        <f t="shared" si="7"/>
        <v>18000</v>
      </c>
      <c r="D21" s="365">
        <f t="shared" si="7"/>
        <v>0</v>
      </c>
      <c r="E21" s="365">
        <f>SUM(B21:D21)</f>
        <v>60000</v>
      </c>
      <c r="F21" s="366">
        <f>SUM(B21:D21)/60000</f>
        <v>1</v>
      </c>
      <c r="G21" s="342" t="str">
        <f>IF(AND(G16= "demolished", SUM(C21:D21)&gt;0),"Set Community and Retail to Zero","")</f>
        <v/>
      </c>
      <c r="H21" s="18"/>
      <c r="I21" s="292"/>
      <c r="J21" s="292"/>
      <c r="K21" s="18"/>
    </row>
    <row r="22" spans="1:11" ht="15.75" customHeight="1">
      <c r="A22" s="343"/>
      <c r="B22" s="367"/>
      <c r="C22" s="368"/>
      <c r="D22" s="367"/>
      <c r="E22" s="367"/>
      <c r="F22" s="367"/>
      <c r="G22" s="369"/>
      <c r="H22" s="306"/>
      <c r="I22" s="307"/>
      <c r="J22" s="292"/>
      <c r="K22" s="18"/>
    </row>
    <row r="23" spans="1:11" ht="15.75" customHeight="1">
      <c r="A23" s="347" t="s">
        <v>140</v>
      </c>
      <c r="B23" s="370" t="s">
        <v>21</v>
      </c>
      <c r="C23" s="371" t="s">
        <v>26</v>
      </c>
      <c r="D23" s="372" t="s">
        <v>137</v>
      </c>
      <c r="E23" s="348" t="s">
        <v>89</v>
      </c>
      <c r="F23" s="348"/>
      <c r="G23" s="326" t="s">
        <v>141</v>
      </c>
      <c r="H23" s="18"/>
      <c r="I23" s="307"/>
      <c r="J23" s="292"/>
      <c r="K23" s="18"/>
    </row>
    <row r="24" spans="1:11" ht="15.75" customHeight="1">
      <c r="A24" s="301" t="s">
        <v>142</v>
      </c>
      <c r="B24" s="328"/>
      <c r="C24" s="327">
        <v>12000</v>
      </c>
      <c r="D24" s="373"/>
      <c r="E24" s="329"/>
      <c r="F24" s="329">
        <f t="shared" ref="F24:F38" si="8">IF((B24+C24+D24)&gt;48000,"OVER ALLOCATED",(B24+C24+D24)/48000)</f>
        <v>0.25</v>
      </c>
      <c r="G24" s="374"/>
      <c r="H24" s="18"/>
      <c r="I24" s="292"/>
      <c r="J24" s="292"/>
      <c r="K24" s="18"/>
    </row>
    <row r="25" spans="1:11" ht="15.75" customHeight="1">
      <c r="A25" s="331" t="s">
        <v>143</v>
      </c>
      <c r="B25" s="332"/>
      <c r="C25" s="332"/>
      <c r="D25" s="375">
        <v>7500</v>
      </c>
      <c r="E25" s="376"/>
      <c r="F25" s="376">
        <f t="shared" si="8"/>
        <v>0.15625</v>
      </c>
      <c r="G25" s="377"/>
      <c r="H25" s="18"/>
      <c r="I25" s="378">
        <v>0</v>
      </c>
      <c r="J25" s="379">
        <v>7500</v>
      </c>
      <c r="K25" s="379"/>
    </row>
    <row r="26" spans="1:11" ht="15.75" customHeight="1">
      <c r="A26" s="331" t="s">
        <v>144</v>
      </c>
      <c r="B26" s="332"/>
      <c r="C26" s="332"/>
      <c r="D26" s="375">
        <v>0</v>
      </c>
      <c r="E26" s="376"/>
      <c r="F26" s="376">
        <f t="shared" si="8"/>
        <v>0</v>
      </c>
      <c r="G26" s="377"/>
      <c r="H26" s="380"/>
      <c r="I26" s="378">
        <v>0</v>
      </c>
      <c r="J26" s="292">
        <v>2500</v>
      </c>
      <c r="K26" s="292"/>
    </row>
    <row r="27" spans="1:11" ht="15.75" customHeight="1">
      <c r="A27" s="331" t="s">
        <v>145</v>
      </c>
      <c r="B27" s="332"/>
      <c r="C27" s="332"/>
      <c r="D27" s="375">
        <v>7000</v>
      </c>
      <c r="E27" s="376"/>
      <c r="F27" s="376">
        <f t="shared" si="8"/>
        <v>0.14583333333333334</v>
      </c>
      <c r="G27" s="381"/>
      <c r="H27" s="306"/>
      <c r="I27" s="378">
        <v>0</v>
      </c>
      <c r="J27" s="292">
        <v>7000</v>
      </c>
      <c r="K27" s="292"/>
    </row>
    <row r="28" spans="1:11" ht="15.75" customHeight="1">
      <c r="A28" s="331" t="s">
        <v>146</v>
      </c>
      <c r="B28" s="332"/>
      <c r="C28" s="332"/>
      <c r="D28" s="375">
        <v>2000</v>
      </c>
      <c r="E28" s="376"/>
      <c r="F28" s="376">
        <f t="shared" si="8"/>
        <v>4.1666666666666664E-2</v>
      </c>
      <c r="G28" s="381"/>
      <c r="H28" s="306"/>
      <c r="I28" s="378">
        <v>0</v>
      </c>
      <c r="J28" s="292">
        <v>2000</v>
      </c>
      <c r="K28" s="292"/>
    </row>
    <row r="29" spans="1:11" ht="15.75" customHeight="1">
      <c r="A29" s="331" t="s">
        <v>147</v>
      </c>
      <c r="B29" s="332"/>
      <c r="C29" s="332"/>
      <c r="D29" s="375">
        <v>0</v>
      </c>
      <c r="E29" s="376"/>
      <c r="F29" s="376">
        <f t="shared" si="8"/>
        <v>0</v>
      </c>
      <c r="G29" s="381"/>
      <c r="H29" s="306"/>
      <c r="I29" s="378">
        <v>0</v>
      </c>
      <c r="J29" s="292">
        <v>3500</v>
      </c>
      <c r="K29" s="292"/>
    </row>
    <row r="30" spans="1:11" ht="15.75" customHeight="1">
      <c r="A30" s="331" t="s">
        <v>148</v>
      </c>
      <c r="B30" s="332"/>
      <c r="C30" s="332"/>
      <c r="D30" s="375">
        <v>0</v>
      </c>
      <c r="E30" s="376"/>
      <c r="F30" s="376">
        <f t="shared" si="8"/>
        <v>0</v>
      </c>
      <c r="G30" s="381"/>
      <c r="H30" s="306"/>
      <c r="I30" s="378">
        <v>0</v>
      </c>
      <c r="J30" s="292">
        <v>1500</v>
      </c>
      <c r="K30" s="292"/>
    </row>
    <row r="31" spans="1:11" ht="15.75" customHeight="1">
      <c r="A31" s="331" t="s">
        <v>149</v>
      </c>
      <c r="B31" s="382"/>
      <c r="C31" s="332"/>
      <c r="D31" s="375">
        <v>1500</v>
      </c>
      <c r="E31" s="376"/>
      <c r="F31" s="376">
        <f t="shared" si="8"/>
        <v>3.125E-2</v>
      </c>
      <c r="G31" s="381"/>
      <c r="H31" s="306"/>
      <c r="I31" s="378">
        <v>0</v>
      </c>
      <c r="J31" s="292">
        <v>1500</v>
      </c>
      <c r="K31" s="292"/>
    </row>
    <row r="32" spans="1:11" ht="15.75" customHeight="1">
      <c r="A32" s="358" t="s">
        <v>150</v>
      </c>
      <c r="B32" s="383"/>
      <c r="C32" s="383"/>
      <c r="D32" s="384">
        <v>1500</v>
      </c>
      <c r="E32" s="385"/>
      <c r="F32" s="385">
        <f t="shared" si="8"/>
        <v>3.125E-2</v>
      </c>
      <c r="G32" s="386"/>
      <c r="H32" s="306"/>
      <c r="I32" s="378">
        <v>0</v>
      </c>
      <c r="J32" s="292">
        <v>1500</v>
      </c>
      <c r="K32" s="292"/>
    </row>
    <row r="33" spans="1:11" ht="15.75" customHeight="1">
      <c r="A33" s="331" t="s">
        <v>151</v>
      </c>
      <c r="B33" s="332"/>
      <c r="C33" s="332"/>
      <c r="D33" s="375">
        <v>0</v>
      </c>
      <c r="E33" s="376"/>
      <c r="F33" s="376">
        <f t="shared" si="8"/>
        <v>0</v>
      </c>
      <c r="G33" s="381"/>
      <c r="H33" s="18"/>
      <c r="I33" s="378">
        <v>0</v>
      </c>
      <c r="J33" s="292">
        <v>6000</v>
      </c>
      <c r="K33" s="292"/>
    </row>
    <row r="34" spans="1:11" ht="15.75" customHeight="1">
      <c r="A34" s="331" t="s">
        <v>152</v>
      </c>
      <c r="B34" s="332"/>
      <c r="C34" s="332"/>
      <c r="D34" s="375">
        <v>0</v>
      </c>
      <c r="E34" s="376"/>
      <c r="F34" s="376">
        <f t="shared" si="8"/>
        <v>0</v>
      </c>
      <c r="G34" s="381"/>
      <c r="H34" s="18"/>
      <c r="I34" s="378">
        <v>0</v>
      </c>
      <c r="J34" s="292">
        <v>5000</v>
      </c>
      <c r="K34" s="292"/>
    </row>
    <row r="35" spans="1:11" ht="15.75" customHeight="1">
      <c r="A35" s="331" t="s">
        <v>153</v>
      </c>
      <c r="B35" s="332"/>
      <c r="C35" s="332"/>
      <c r="D35" s="375">
        <v>0</v>
      </c>
      <c r="E35" s="376"/>
      <c r="F35" s="376">
        <f t="shared" si="8"/>
        <v>0</v>
      </c>
      <c r="G35" s="381"/>
      <c r="H35" s="18"/>
      <c r="I35" s="378">
        <v>0</v>
      </c>
      <c r="J35" s="292">
        <v>5500</v>
      </c>
      <c r="K35" s="292"/>
    </row>
    <row r="36" spans="1:11" ht="15.75" customHeight="1">
      <c r="A36" s="331" t="s">
        <v>138</v>
      </c>
      <c r="B36" s="332"/>
      <c r="C36" s="332"/>
      <c r="D36" s="375">
        <v>0</v>
      </c>
      <c r="E36" s="376"/>
      <c r="F36" s="376">
        <f t="shared" si="8"/>
        <v>0</v>
      </c>
      <c r="G36" s="387" t="str">
        <f>IF(AND($D$18=$D$36,$D$36&gt;0),"***Please Set Artist Studios Space to Zero and See Footnote 3***","")</f>
        <v/>
      </c>
      <c r="H36" s="18"/>
      <c r="I36" s="378">
        <v>0</v>
      </c>
      <c r="J36" s="292">
        <v>10000</v>
      </c>
      <c r="K36" s="292"/>
    </row>
    <row r="37" spans="1:11" ht="15.75" customHeight="1">
      <c r="A37" s="331" t="s">
        <v>154</v>
      </c>
      <c r="B37" s="332"/>
      <c r="C37" s="332"/>
      <c r="D37" s="375">
        <v>0</v>
      </c>
      <c r="E37" s="376"/>
      <c r="F37" s="376">
        <f t="shared" si="8"/>
        <v>0</v>
      </c>
      <c r="G37" s="387" t="str">
        <f>IF(AND($D$19=$D$37,$D$37&gt;0),"*Please Set Univ. Classrooms Space to Zero and See Footnote 4*","")</f>
        <v/>
      </c>
      <c r="H37" s="306"/>
      <c r="I37" s="378">
        <v>0</v>
      </c>
      <c r="J37" s="292">
        <v>15000</v>
      </c>
      <c r="K37" s="292"/>
    </row>
    <row r="38" spans="1:11" ht="15.75" customHeight="1">
      <c r="A38" s="331" t="s">
        <v>59</v>
      </c>
      <c r="B38" s="388">
        <f>IF((48000-SUM(C24:D37))&lt;0,"OVERBUILT",48000-SUM(C24:D37))</f>
        <v>16500</v>
      </c>
      <c r="C38" s="388"/>
      <c r="D38" s="388"/>
      <c r="E38" s="332"/>
      <c r="F38" s="376">
        <f t="shared" si="8"/>
        <v>0.34375</v>
      </c>
      <c r="G38" s="381"/>
      <c r="H38" s="306"/>
      <c r="I38" s="292"/>
      <c r="J38" s="292"/>
      <c r="K38" s="18"/>
    </row>
    <row r="39" spans="1:11" ht="15.75" customHeight="1">
      <c r="A39" s="363" t="s">
        <v>43</v>
      </c>
      <c r="B39" s="389">
        <f t="shared" ref="B39:D39" si="9">SUM(B24:B38)</f>
        <v>16500</v>
      </c>
      <c r="C39" s="389">
        <f t="shared" si="9"/>
        <v>12000</v>
      </c>
      <c r="D39" s="389">
        <f t="shared" si="9"/>
        <v>19500</v>
      </c>
      <c r="E39" s="389">
        <f>SUM(B39:D39)</f>
        <v>48000</v>
      </c>
      <c r="F39" s="311">
        <f>SUM(B39:D39)/48000</f>
        <v>1</v>
      </c>
      <c r="G39" s="390"/>
      <c r="H39" s="306"/>
      <c r="I39" s="292"/>
      <c r="J39" s="292"/>
      <c r="K39" s="18"/>
    </row>
    <row r="40" spans="1:11" ht="15.75" customHeight="1">
      <c r="A40" s="391"/>
      <c r="B40" s="348" t="s">
        <v>21</v>
      </c>
      <c r="C40" s="348" t="s">
        <v>26</v>
      </c>
      <c r="D40" s="348" t="s">
        <v>137</v>
      </c>
      <c r="E40" s="348" t="s">
        <v>89</v>
      </c>
      <c r="F40" s="348"/>
      <c r="G40" s="392"/>
      <c r="H40" s="18"/>
      <c r="I40" s="292"/>
      <c r="J40" s="292"/>
      <c r="K40" s="18"/>
    </row>
    <row r="41" spans="1:11" ht="15.75" customHeight="1">
      <c r="A41" s="393" t="s">
        <v>155</v>
      </c>
      <c r="B41" s="394">
        <f t="shared" ref="B41:E41" si="10">SUM(B14,B21,B39)</f>
        <v>58500</v>
      </c>
      <c r="C41" s="394">
        <f t="shared" si="10"/>
        <v>30000</v>
      </c>
      <c r="D41" s="394">
        <f t="shared" si="10"/>
        <v>79500</v>
      </c>
      <c r="E41" s="394">
        <f t="shared" si="10"/>
        <v>168000</v>
      </c>
      <c r="F41" s="395"/>
      <c r="G41" s="396"/>
      <c r="H41" s="18"/>
      <c r="I41" s="292"/>
      <c r="J41" s="292"/>
      <c r="K41" s="18"/>
    </row>
    <row r="42" spans="1:11" ht="15.75" customHeight="1">
      <c r="A42" s="18"/>
      <c r="B42" s="18"/>
      <c r="C42" s="18"/>
      <c r="D42" s="18"/>
      <c r="E42" s="18"/>
      <c r="F42" s="18"/>
      <c r="G42" s="18"/>
      <c r="H42" s="18"/>
      <c r="I42" s="292"/>
      <c r="J42" s="292"/>
      <c r="K42" s="18"/>
    </row>
    <row r="43" spans="1:11" ht="15.75" customHeight="1">
      <c r="A43" s="293" t="s">
        <v>156</v>
      </c>
      <c r="B43" s="294"/>
      <c r="C43" s="295"/>
      <c r="D43" s="295"/>
      <c r="E43" s="295"/>
      <c r="F43" s="295"/>
      <c r="G43" s="296"/>
      <c r="H43" s="18"/>
      <c r="I43" s="292"/>
      <c r="J43" s="292"/>
      <c r="K43" s="18"/>
    </row>
    <row r="44" spans="1:11" ht="15.75" customHeight="1">
      <c r="A44" s="306" t="s">
        <v>157</v>
      </c>
      <c r="B44" s="18"/>
      <c r="C44" s="18"/>
      <c r="D44" s="18"/>
      <c r="E44" s="18"/>
      <c r="F44" s="18"/>
      <c r="G44" s="18"/>
      <c r="H44" s="18"/>
      <c r="I44" s="292"/>
      <c r="J44" s="292"/>
      <c r="K44" s="18"/>
    </row>
    <row r="45" spans="1:11" ht="15.75" customHeight="1">
      <c r="A45" s="397" t="s">
        <v>158</v>
      </c>
      <c r="B45" s="18"/>
      <c r="C45" s="18"/>
      <c r="D45" s="18"/>
      <c r="E45" s="18"/>
      <c r="F45" s="18"/>
      <c r="G45" s="18"/>
      <c r="H45" s="18"/>
      <c r="I45" s="292"/>
      <c r="J45" s="292"/>
      <c r="K45" s="18"/>
    </row>
    <row r="46" spans="1:11" ht="15.75" customHeight="1">
      <c r="A46" s="397" t="s">
        <v>159</v>
      </c>
      <c r="B46" s="398"/>
      <c r="C46" s="18"/>
      <c r="D46" s="18"/>
      <c r="E46" s="18"/>
      <c r="F46" s="398"/>
      <c r="G46" s="18"/>
      <c r="H46" s="18"/>
      <c r="I46" s="292"/>
      <c r="J46" s="292"/>
      <c r="K46" s="18"/>
    </row>
    <row r="47" spans="1:11" ht="15.75" customHeight="1">
      <c r="A47" s="397" t="s">
        <v>160</v>
      </c>
      <c r="B47" s="18"/>
      <c r="C47" s="399"/>
      <c r="D47" s="18"/>
      <c r="E47" s="18"/>
      <c r="F47" s="18"/>
      <c r="G47" s="18"/>
      <c r="H47" s="18"/>
      <c r="I47" s="292"/>
      <c r="J47" s="292"/>
      <c r="K47" s="18"/>
    </row>
    <row r="48" spans="1:11" ht="15.75" customHeight="1">
      <c r="A48" s="306" t="s">
        <v>161</v>
      </c>
      <c r="B48" s="18"/>
      <c r="C48" s="18"/>
      <c r="D48" s="18"/>
      <c r="E48" s="18"/>
      <c r="F48" s="18"/>
      <c r="G48" s="18"/>
      <c r="H48" s="18"/>
      <c r="I48" s="292"/>
      <c r="J48" s="292"/>
      <c r="K48" s="18"/>
    </row>
    <row r="49" spans="1:11" ht="15.75" customHeight="1">
      <c r="A49" s="18"/>
      <c r="B49" s="18"/>
      <c r="C49" s="18"/>
      <c r="D49" s="18"/>
      <c r="E49" s="18"/>
      <c r="F49" s="18"/>
      <c r="G49" s="18"/>
      <c r="H49" s="18"/>
      <c r="I49" s="378"/>
      <c r="J49" s="378"/>
      <c r="K49" s="18"/>
    </row>
    <row r="50" spans="1:11" ht="12" customHeight="1">
      <c r="A50" s="18"/>
      <c r="B50" s="18"/>
      <c r="C50" s="18"/>
      <c r="D50" s="18"/>
      <c r="E50" s="18"/>
      <c r="F50" s="18"/>
      <c r="G50" s="18"/>
      <c r="H50" s="18"/>
      <c r="I50" s="378"/>
      <c r="J50" s="378"/>
      <c r="K50" s="18"/>
    </row>
    <row r="51" spans="1:11" ht="15.75" customHeight="1">
      <c r="I51" s="379"/>
      <c r="J51" s="379"/>
    </row>
    <row r="52" spans="1:11" ht="15.75" customHeight="1">
      <c r="I52" s="379"/>
      <c r="J52" s="379"/>
    </row>
    <row r="53" spans="1:11" ht="15.75" customHeight="1">
      <c r="I53" s="379"/>
      <c r="J53" s="379"/>
    </row>
    <row r="54" spans="1:11" ht="15.75" customHeight="1">
      <c r="I54" s="379"/>
      <c r="J54" s="379"/>
    </row>
    <row r="55" spans="1:11" ht="15.75" customHeight="1">
      <c r="I55" s="379"/>
      <c r="J55" s="379"/>
    </row>
    <row r="56" spans="1:11" ht="15.75" customHeight="1">
      <c r="I56" s="379"/>
      <c r="J56" s="379"/>
    </row>
    <row r="57" spans="1:11" ht="15.75" customHeight="1">
      <c r="I57" s="379"/>
      <c r="J57" s="379"/>
    </row>
    <row r="58" spans="1:11" ht="15.75" customHeight="1">
      <c r="I58" s="379"/>
      <c r="J58" s="379"/>
    </row>
    <row r="59" spans="1:11" ht="15.75" customHeight="1">
      <c r="I59" s="379"/>
      <c r="J59" s="379"/>
    </row>
    <row r="60" spans="1:11" ht="15.75" customHeight="1">
      <c r="I60" s="379"/>
      <c r="J60" s="379"/>
    </row>
    <row r="61" spans="1:11" ht="15.75" customHeight="1">
      <c r="I61" s="379"/>
      <c r="J61" s="379"/>
    </row>
    <row r="62" spans="1:11" ht="15.75" customHeight="1">
      <c r="I62" s="379"/>
      <c r="J62" s="379"/>
    </row>
    <row r="63" spans="1:11" ht="15.75" customHeight="1">
      <c r="I63" s="379"/>
      <c r="J63" s="379"/>
    </row>
    <row r="64" spans="1:11" ht="15.75" customHeight="1">
      <c r="I64" s="379"/>
      <c r="J64" s="379"/>
    </row>
    <row r="65" spans="9:10" ht="15.75" customHeight="1">
      <c r="I65" s="379"/>
      <c r="J65" s="379"/>
    </row>
    <row r="66" spans="9:10" ht="15.75" customHeight="1">
      <c r="I66" s="379"/>
      <c r="J66" s="379"/>
    </row>
    <row r="67" spans="9:10" ht="15.75" customHeight="1">
      <c r="I67" s="379"/>
      <c r="J67" s="379"/>
    </row>
    <row r="68" spans="9:10" ht="15.75" customHeight="1">
      <c r="I68" s="379"/>
      <c r="J68" s="379"/>
    </row>
    <row r="69" spans="9:10" ht="15.75" customHeight="1">
      <c r="I69" s="379"/>
      <c r="J69" s="379"/>
    </row>
    <row r="70" spans="9:10" ht="15.75" customHeight="1">
      <c r="I70" s="379"/>
      <c r="J70" s="379"/>
    </row>
    <row r="71" spans="9:10" ht="15.75" customHeight="1">
      <c r="I71" s="379"/>
      <c r="J71" s="379"/>
    </row>
    <row r="72" spans="9:10" ht="15.75" customHeight="1">
      <c r="I72" s="379"/>
      <c r="J72" s="379"/>
    </row>
    <row r="73" spans="9:10" ht="15.75" customHeight="1">
      <c r="I73" s="379"/>
      <c r="J73" s="379"/>
    </row>
    <row r="74" spans="9:10" ht="15.75" customHeight="1">
      <c r="I74" s="379"/>
      <c r="J74" s="379"/>
    </row>
    <row r="75" spans="9:10" ht="15.75" customHeight="1">
      <c r="I75" s="379"/>
      <c r="J75" s="379"/>
    </row>
    <row r="76" spans="9:10" ht="15.75" customHeight="1">
      <c r="I76" s="379"/>
      <c r="J76" s="379"/>
    </row>
    <row r="77" spans="9:10" ht="15.75" customHeight="1">
      <c r="I77" s="379"/>
      <c r="J77" s="379"/>
    </row>
    <row r="78" spans="9:10" ht="15.75" customHeight="1">
      <c r="I78" s="379"/>
      <c r="J78" s="379"/>
    </row>
    <row r="79" spans="9:10" ht="15.75" customHeight="1">
      <c r="I79" s="379"/>
      <c r="J79" s="379"/>
    </row>
    <row r="80" spans="9:10" ht="15.75" customHeight="1">
      <c r="I80" s="379"/>
      <c r="J80" s="379"/>
    </row>
    <row r="81" spans="9:10" ht="15.75" customHeight="1">
      <c r="I81" s="379"/>
      <c r="J81" s="379"/>
    </row>
    <row r="82" spans="9:10" ht="15.75" customHeight="1">
      <c r="I82" s="379"/>
      <c r="J82" s="379"/>
    </row>
    <row r="83" spans="9:10" ht="15.75" customHeight="1">
      <c r="I83" s="379"/>
      <c r="J83" s="379"/>
    </row>
    <row r="84" spans="9:10" ht="15.75" customHeight="1">
      <c r="I84" s="379"/>
      <c r="J84" s="379"/>
    </row>
    <row r="85" spans="9:10" ht="15.75" customHeight="1">
      <c r="I85" s="379"/>
      <c r="J85" s="379"/>
    </row>
    <row r="86" spans="9:10" ht="15.75" customHeight="1">
      <c r="I86" s="379"/>
      <c r="J86" s="379"/>
    </row>
    <row r="87" spans="9:10" ht="15.75" customHeight="1">
      <c r="I87" s="379"/>
      <c r="J87" s="379"/>
    </row>
    <row r="88" spans="9:10" ht="15.75" customHeight="1">
      <c r="I88" s="379"/>
      <c r="J88" s="379"/>
    </row>
    <row r="89" spans="9:10" ht="15.75" customHeight="1">
      <c r="I89" s="379"/>
      <c r="J89" s="379"/>
    </row>
    <row r="90" spans="9:10" ht="15.75" customHeight="1">
      <c r="I90" s="379"/>
      <c r="J90" s="379"/>
    </row>
    <row r="91" spans="9:10" ht="15.75" customHeight="1">
      <c r="I91" s="379"/>
      <c r="J91" s="379"/>
    </row>
    <row r="92" spans="9:10" ht="15.75" customHeight="1">
      <c r="I92" s="379"/>
      <c r="J92" s="379"/>
    </row>
    <row r="93" spans="9:10" ht="15.75" customHeight="1">
      <c r="I93" s="379"/>
      <c r="J93" s="379"/>
    </row>
    <row r="94" spans="9:10" ht="15.75" customHeight="1">
      <c r="I94" s="379"/>
      <c r="J94" s="379"/>
    </row>
    <row r="95" spans="9:10" ht="15.75" customHeight="1">
      <c r="I95" s="379"/>
      <c r="J95" s="379"/>
    </row>
    <row r="96" spans="9:10" ht="15.75" customHeight="1">
      <c r="I96" s="379"/>
      <c r="J96" s="379"/>
    </row>
    <row r="97" spans="9:10" ht="15.75" customHeight="1">
      <c r="I97" s="379"/>
      <c r="J97" s="379"/>
    </row>
    <row r="98" spans="9:10" ht="15.75" customHeight="1">
      <c r="I98" s="379"/>
      <c r="J98" s="379"/>
    </row>
    <row r="99" spans="9:10" ht="15.75" customHeight="1">
      <c r="I99" s="379"/>
      <c r="J99" s="379"/>
    </row>
    <row r="100" spans="9:10" ht="15.75" customHeight="1">
      <c r="I100" s="379"/>
      <c r="J100" s="379"/>
    </row>
    <row r="101" spans="9:10" ht="15.75" customHeight="1">
      <c r="I101" s="379"/>
      <c r="J101" s="379"/>
    </row>
    <row r="102" spans="9:10" ht="15.75" customHeight="1">
      <c r="I102" s="379"/>
      <c r="J102" s="379"/>
    </row>
    <row r="103" spans="9:10" ht="15.75" customHeight="1">
      <c r="I103" s="379"/>
      <c r="J103" s="379"/>
    </row>
    <row r="104" spans="9:10" ht="15.75" customHeight="1">
      <c r="I104" s="379"/>
      <c r="J104" s="379"/>
    </row>
    <row r="105" spans="9:10" ht="15.75" customHeight="1">
      <c r="I105" s="379"/>
      <c r="J105" s="379"/>
    </row>
    <row r="106" spans="9:10" ht="15.75" customHeight="1">
      <c r="I106" s="379"/>
      <c r="J106" s="379"/>
    </row>
    <row r="107" spans="9:10" ht="15.75" customHeight="1">
      <c r="I107" s="379"/>
      <c r="J107" s="379"/>
    </row>
    <row r="108" spans="9:10" ht="15.75" customHeight="1">
      <c r="I108" s="379"/>
      <c r="J108" s="379"/>
    </row>
    <row r="109" spans="9:10" ht="15.75" customHeight="1">
      <c r="I109" s="379"/>
      <c r="J109" s="379"/>
    </row>
    <row r="110" spans="9:10" ht="15.75" customHeight="1">
      <c r="I110" s="379"/>
      <c r="J110" s="379"/>
    </row>
    <row r="111" spans="9:10" ht="15.75" customHeight="1">
      <c r="I111" s="379"/>
      <c r="J111" s="379"/>
    </row>
    <row r="112" spans="9:10" ht="15.75" customHeight="1">
      <c r="I112" s="379"/>
      <c r="J112" s="379"/>
    </row>
    <row r="113" spans="9:10" ht="15.75" customHeight="1">
      <c r="I113" s="379"/>
      <c r="J113" s="379"/>
    </row>
    <row r="114" spans="9:10" ht="15.75" customHeight="1">
      <c r="I114" s="379"/>
      <c r="J114" s="379"/>
    </row>
    <row r="115" spans="9:10" ht="15.75" customHeight="1">
      <c r="I115" s="379"/>
      <c r="J115" s="379"/>
    </row>
    <row r="116" spans="9:10" ht="15.75" customHeight="1">
      <c r="I116" s="379"/>
      <c r="J116" s="379"/>
    </row>
    <row r="117" spans="9:10" ht="15.75" customHeight="1">
      <c r="I117" s="379"/>
      <c r="J117" s="379"/>
    </row>
    <row r="118" spans="9:10" ht="15.75" customHeight="1">
      <c r="I118" s="379"/>
      <c r="J118" s="379"/>
    </row>
    <row r="119" spans="9:10" ht="15.75" customHeight="1">
      <c r="I119" s="379"/>
      <c r="J119" s="379"/>
    </row>
    <row r="120" spans="9:10" ht="15.75" customHeight="1">
      <c r="I120" s="379"/>
      <c r="J120" s="379"/>
    </row>
    <row r="121" spans="9:10" ht="15.75" customHeight="1">
      <c r="I121" s="379"/>
      <c r="J121" s="379"/>
    </row>
    <row r="122" spans="9:10" ht="15.75" customHeight="1">
      <c r="I122" s="379"/>
      <c r="J122" s="379"/>
    </row>
    <row r="123" spans="9:10" ht="15.75" customHeight="1">
      <c r="I123" s="379"/>
      <c r="J123" s="379"/>
    </row>
    <row r="124" spans="9:10" ht="15.75" customHeight="1">
      <c r="I124" s="379"/>
      <c r="J124" s="379"/>
    </row>
    <row r="125" spans="9:10" ht="15.75" customHeight="1">
      <c r="I125" s="379"/>
      <c r="J125" s="379"/>
    </row>
    <row r="126" spans="9:10" ht="15.75" customHeight="1">
      <c r="I126" s="379"/>
      <c r="J126" s="379"/>
    </row>
    <row r="127" spans="9:10" ht="15.75" customHeight="1">
      <c r="I127" s="379"/>
      <c r="J127" s="379"/>
    </row>
    <row r="128" spans="9:10" ht="15.75" customHeight="1">
      <c r="I128" s="379"/>
      <c r="J128" s="379"/>
    </row>
    <row r="129" spans="9:10" ht="15.75" customHeight="1">
      <c r="I129" s="379"/>
      <c r="J129" s="379"/>
    </row>
    <row r="130" spans="9:10" ht="15.75" customHeight="1">
      <c r="I130" s="379"/>
      <c r="J130" s="379"/>
    </row>
    <row r="131" spans="9:10" ht="15.75" customHeight="1">
      <c r="I131" s="379"/>
      <c r="J131" s="379"/>
    </row>
    <row r="132" spans="9:10" ht="15.75" customHeight="1">
      <c r="I132" s="379"/>
      <c r="J132" s="379"/>
    </row>
    <row r="133" spans="9:10" ht="15.75" customHeight="1">
      <c r="I133" s="379"/>
      <c r="J133" s="379"/>
    </row>
    <row r="134" spans="9:10" ht="15.75" customHeight="1">
      <c r="I134" s="379"/>
      <c r="J134" s="379"/>
    </row>
    <row r="135" spans="9:10" ht="15.75" customHeight="1">
      <c r="I135" s="379"/>
      <c r="J135" s="379"/>
    </row>
    <row r="136" spans="9:10" ht="15.75" customHeight="1">
      <c r="I136" s="379"/>
      <c r="J136" s="379"/>
    </row>
    <row r="137" spans="9:10" ht="15.75" customHeight="1">
      <c r="I137" s="379"/>
      <c r="J137" s="379"/>
    </row>
    <row r="138" spans="9:10" ht="15.75" customHeight="1">
      <c r="I138" s="379"/>
      <c r="J138" s="379"/>
    </row>
    <row r="139" spans="9:10" ht="15.75" customHeight="1">
      <c r="I139" s="379"/>
      <c r="J139" s="379"/>
    </row>
    <row r="140" spans="9:10" ht="15.75" customHeight="1">
      <c r="I140" s="379"/>
      <c r="J140" s="379"/>
    </row>
    <row r="141" spans="9:10" ht="15.75" customHeight="1">
      <c r="I141" s="379"/>
      <c r="J141" s="379"/>
    </row>
    <row r="142" spans="9:10" ht="15.75" customHeight="1">
      <c r="I142" s="379"/>
      <c r="J142" s="379"/>
    </row>
    <row r="143" spans="9:10" ht="15.75" customHeight="1">
      <c r="I143" s="379"/>
      <c r="J143" s="379"/>
    </row>
    <row r="144" spans="9:10" ht="15.75" customHeight="1">
      <c r="I144" s="379"/>
      <c r="J144" s="379"/>
    </row>
    <row r="145" spans="9:10" ht="15.75" customHeight="1">
      <c r="I145" s="379"/>
      <c r="J145" s="379"/>
    </row>
    <row r="146" spans="9:10" ht="15.75" customHeight="1">
      <c r="I146" s="379"/>
      <c r="J146" s="379"/>
    </row>
    <row r="147" spans="9:10" ht="15.75" customHeight="1">
      <c r="I147" s="379"/>
      <c r="J147" s="379"/>
    </row>
    <row r="148" spans="9:10" ht="15.75" customHeight="1">
      <c r="I148" s="379"/>
      <c r="J148" s="379"/>
    </row>
    <row r="149" spans="9:10" ht="15.75" customHeight="1">
      <c r="I149" s="379"/>
      <c r="J149" s="379"/>
    </row>
    <row r="150" spans="9:10" ht="15.75" customHeight="1">
      <c r="I150" s="379"/>
      <c r="J150" s="379"/>
    </row>
    <row r="151" spans="9:10" ht="15.75" customHeight="1">
      <c r="I151" s="379"/>
      <c r="J151" s="379"/>
    </row>
    <row r="152" spans="9:10" ht="15.75" customHeight="1">
      <c r="I152" s="379"/>
      <c r="J152" s="379"/>
    </row>
    <row r="153" spans="9:10" ht="15.75" customHeight="1">
      <c r="I153" s="379"/>
      <c r="J153" s="379"/>
    </row>
    <row r="154" spans="9:10" ht="15.75" customHeight="1">
      <c r="I154" s="379"/>
      <c r="J154" s="379"/>
    </row>
    <row r="155" spans="9:10" ht="15.75" customHeight="1">
      <c r="I155" s="379"/>
      <c r="J155" s="379"/>
    </row>
    <row r="156" spans="9:10" ht="15.75" customHeight="1">
      <c r="I156" s="379"/>
      <c r="J156" s="379"/>
    </row>
    <row r="157" spans="9:10" ht="15.75" customHeight="1">
      <c r="I157" s="379"/>
      <c r="J157" s="379"/>
    </row>
    <row r="158" spans="9:10" ht="15.75" customHeight="1">
      <c r="I158" s="379"/>
      <c r="J158" s="379"/>
    </row>
    <row r="159" spans="9:10" ht="15.75" customHeight="1">
      <c r="I159" s="379"/>
      <c r="J159" s="379"/>
    </row>
    <row r="160" spans="9:10" ht="15.75" customHeight="1">
      <c r="I160" s="379"/>
      <c r="J160" s="379"/>
    </row>
    <row r="161" spans="9:10" ht="15.75" customHeight="1">
      <c r="I161" s="379"/>
      <c r="J161" s="379"/>
    </row>
    <row r="162" spans="9:10" ht="15.75" customHeight="1">
      <c r="I162" s="379"/>
      <c r="J162" s="379"/>
    </row>
    <row r="163" spans="9:10" ht="15.75" customHeight="1">
      <c r="I163" s="379"/>
      <c r="J163" s="379"/>
    </row>
    <row r="164" spans="9:10" ht="15.75" customHeight="1">
      <c r="I164" s="379"/>
      <c r="J164" s="379"/>
    </row>
    <row r="165" spans="9:10" ht="15.75" customHeight="1">
      <c r="I165" s="379"/>
      <c r="J165" s="379"/>
    </row>
    <row r="166" spans="9:10" ht="15.75" customHeight="1">
      <c r="I166" s="379"/>
      <c r="J166" s="379"/>
    </row>
    <row r="167" spans="9:10" ht="15.75" customHeight="1">
      <c r="I167" s="379"/>
      <c r="J167" s="379"/>
    </row>
    <row r="168" spans="9:10" ht="15.75" customHeight="1">
      <c r="I168" s="379"/>
      <c r="J168" s="379"/>
    </row>
    <row r="169" spans="9:10" ht="15.75" customHeight="1">
      <c r="I169" s="379"/>
      <c r="J169" s="379"/>
    </row>
    <row r="170" spans="9:10" ht="15.75" customHeight="1">
      <c r="I170" s="379"/>
      <c r="J170" s="379"/>
    </row>
    <row r="171" spans="9:10" ht="15.75" customHeight="1">
      <c r="I171" s="379"/>
      <c r="J171" s="379"/>
    </row>
    <row r="172" spans="9:10" ht="15.75" customHeight="1">
      <c r="I172" s="379"/>
      <c r="J172" s="379"/>
    </row>
    <row r="173" spans="9:10" ht="15.75" customHeight="1">
      <c r="I173" s="379"/>
      <c r="J173" s="379"/>
    </row>
    <row r="174" spans="9:10" ht="15.75" customHeight="1">
      <c r="I174" s="379"/>
      <c r="J174" s="379"/>
    </row>
    <row r="175" spans="9:10" ht="15.75" customHeight="1">
      <c r="I175" s="379"/>
      <c r="J175" s="379"/>
    </row>
    <row r="176" spans="9:10" ht="15.75" customHeight="1">
      <c r="I176" s="379"/>
      <c r="J176" s="379"/>
    </row>
    <row r="177" spans="9:10" ht="15.75" customHeight="1">
      <c r="I177" s="379"/>
      <c r="J177" s="379"/>
    </row>
    <row r="178" spans="9:10" ht="15.75" customHeight="1">
      <c r="I178" s="379"/>
      <c r="J178" s="379"/>
    </row>
    <row r="179" spans="9:10" ht="15.75" customHeight="1">
      <c r="I179" s="379"/>
      <c r="J179" s="379"/>
    </row>
    <row r="180" spans="9:10" ht="15.75" customHeight="1">
      <c r="I180" s="379"/>
      <c r="J180" s="379"/>
    </row>
    <row r="181" spans="9:10" ht="15.75" customHeight="1">
      <c r="I181" s="379"/>
      <c r="J181" s="379"/>
    </row>
    <row r="182" spans="9:10" ht="15.75" customHeight="1">
      <c r="I182" s="379"/>
      <c r="J182" s="379"/>
    </row>
    <row r="183" spans="9:10" ht="15.75" customHeight="1">
      <c r="I183" s="379"/>
      <c r="J183" s="379"/>
    </row>
    <row r="184" spans="9:10" ht="15.75" customHeight="1">
      <c r="I184" s="379"/>
      <c r="J184" s="379"/>
    </row>
    <row r="185" spans="9:10" ht="15.75" customHeight="1">
      <c r="I185" s="379"/>
      <c r="J185" s="379"/>
    </row>
    <row r="186" spans="9:10" ht="15.75" customHeight="1">
      <c r="I186" s="379"/>
      <c r="J186" s="379"/>
    </row>
    <row r="187" spans="9:10" ht="15.75" customHeight="1">
      <c r="I187" s="379"/>
      <c r="J187" s="379"/>
    </row>
    <row r="188" spans="9:10" ht="15.75" customHeight="1">
      <c r="I188" s="379"/>
      <c r="J188" s="379"/>
    </row>
    <row r="189" spans="9:10" ht="15.75" customHeight="1">
      <c r="I189" s="379"/>
      <c r="J189" s="379"/>
    </row>
    <row r="190" spans="9:10" ht="15.75" customHeight="1">
      <c r="I190" s="379"/>
      <c r="J190" s="379"/>
    </row>
    <row r="191" spans="9:10" ht="15.75" customHeight="1">
      <c r="I191" s="379"/>
      <c r="J191" s="379"/>
    </row>
    <row r="192" spans="9:10" ht="15.75" customHeight="1">
      <c r="I192" s="379"/>
      <c r="J192" s="379"/>
    </row>
    <row r="193" spans="9:10" ht="15.75" customHeight="1">
      <c r="I193" s="379"/>
      <c r="J193" s="379"/>
    </row>
    <row r="194" spans="9:10" ht="15.75" customHeight="1">
      <c r="I194" s="379"/>
      <c r="J194" s="379"/>
    </row>
    <row r="195" spans="9:10" ht="15.75" customHeight="1">
      <c r="I195" s="379"/>
      <c r="J195" s="379"/>
    </row>
    <row r="196" spans="9:10" ht="15.75" customHeight="1">
      <c r="I196" s="379"/>
      <c r="J196" s="379"/>
    </row>
    <row r="197" spans="9:10" ht="15.75" customHeight="1">
      <c r="I197" s="379"/>
      <c r="J197" s="379"/>
    </row>
    <row r="198" spans="9:10" ht="15.75" customHeight="1">
      <c r="I198" s="379"/>
      <c r="J198" s="379"/>
    </row>
    <row r="199" spans="9:10" ht="15.75" customHeight="1">
      <c r="I199" s="379"/>
      <c r="J199" s="379"/>
    </row>
    <row r="200" spans="9:10" ht="15.75" customHeight="1">
      <c r="I200" s="379"/>
      <c r="J200" s="379"/>
    </row>
    <row r="201" spans="9:10" ht="15.75" customHeight="1">
      <c r="I201" s="379"/>
      <c r="J201" s="379"/>
    </row>
    <row r="202" spans="9:10" ht="15.75" customHeight="1">
      <c r="I202" s="379"/>
      <c r="J202" s="379"/>
    </row>
    <row r="203" spans="9:10" ht="15.75" customHeight="1">
      <c r="I203" s="379"/>
      <c r="J203" s="379"/>
    </row>
    <row r="204" spans="9:10" ht="15.75" customHeight="1">
      <c r="I204" s="379"/>
      <c r="J204" s="379"/>
    </row>
    <row r="205" spans="9:10" ht="15.75" customHeight="1">
      <c r="I205" s="379"/>
      <c r="J205" s="379"/>
    </row>
    <row r="206" spans="9:10" ht="15.75" customHeight="1">
      <c r="I206" s="379"/>
      <c r="J206" s="379"/>
    </row>
    <row r="207" spans="9:10" ht="15.75" customHeight="1">
      <c r="I207" s="379"/>
      <c r="J207" s="379"/>
    </row>
    <row r="208" spans="9:10" ht="15.75" customHeight="1">
      <c r="I208" s="379"/>
      <c r="J208" s="379"/>
    </row>
    <row r="209" spans="9:10" ht="15.75" customHeight="1">
      <c r="I209" s="379"/>
      <c r="J209" s="379"/>
    </row>
    <row r="210" spans="9:10" ht="15.75" customHeight="1">
      <c r="I210" s="379"/>
      <c r="J210" s="379"/>
    </row>
    <row r="211" spans="9:10" ht="15.75" customHeight="1">
      <c r="I211" s="379"/>
      <c r="J211" s="379"/>
    </row>
    <row r="212" spans="9:10" ht="15.75" customHeight="1">
      <c r="I212" s="379"/>
      <c r="J212" s="379"/>
    </row>
    <row r="213" spans="9:10" ht="15.75" customHeight="1">
      <c r="I213" s="379"/>
      <c r="J213" s="379"/>
    </row>
    <row r="214" spans="9:10" ht="15.75" customHeight="1">
      <c r="I214" s="379"/>
      <c r="J214" s="379"/>
    </row>
    <row r="215" spans="9:10" ht="15.75" customHeight="1">
      <c r="I215" s="379"/>
      <c r="J215" s="379"/>
    </row>
    <row r="216" spans="9:10" ht="15.75" customHeight="1">
      <c r="I216" s="379"/>
      <c r="J216" s="379"/>
    </row>
    <row r="217" spans="9:10" ht="15.75" customHeight="1">
      <c r="I217" s="379"/>
      <c r="J217" s="379"/>
    </row>
    <row r="218" spans="9:10" ht="15.75" customHeight="1">
      <c r="I218" s="379"/>
      <c r="J218" s="379"/>
    </row>
    <row r="219" spans="9:10" ht="15.75" customHeight="1">
      <c r="I219" s="379"/>
      <c r="J219" s="379"/>
    </row>
    <row r="220" spans="9:10" ht="15.75" customHeight="1">
      <c r="I220" s="379"/>
      <c r="J220" s="379"/>
    </row>
    <row r="221" spans="9:10" ht="15.75" customHeight="1">
      <c r="I221" s="379"/>
      <c r="J221" s="379"/>
    </row>
    <row r="222" spans="9:10" ht="15.75" customHeight="1">
      <c r="I222" s="379"/>
      <c r="J222" s="379"/>
    </row>
    <row r="223" spans="9:10" ht="15.75" customHeight="1">
      <c r="I223" s="379"/>
      <c r="J223" s="379"/>
    </row>
    <row r="224" spans="9:10" ht="15.75" customHeight="1">
      <c r="I224" s="379"/>
      <c r="J224" s="379"/>
    </row>
    <row r="225" spans="9:10" ht="15.75" customHeight="1">
      <c r="I225" s="379"/>
      <c r="J225" s="379"/>
    </row>
    <row r="226" spans="9:10" ht="15.75" customHeight="1">
      <c r="I226" s="379"/>
      <c r="J226" s="379"/>
    </row>
    <row r="227" spans="9:10" ht="15.75" customHeight="1">
      <c r="I227" s="379"/>
      <c r="J227" s="379"/>
    </row>
    <row r="228" spans="9:10" ht="15.75" customHeight="1">
      <c r="I228" s="379"/>
      <c r="J228" s="379"/>
    </row>
    <row r="229" spans="9:10" ht="15.75" customHeight="1">
      <c r="I229" s="379"/>
      <c r="J229" s="379"/>
    </row>
    <row r="230" spans="9:10" ht="15.75" customHeight="1">
      <c r="I230" s="379"/>
      <c r="J230" s="379"/>
    </row>
    <row r="231" spans="9:10" ht="15.75" customHeight="1">
      <c r="I231" s="379"/>
      <c r="J231" s="379"/>
    </row>
    <row r="232" spans="9:10" ht="15.75" customHeight="1">
      <c r="I232" s="379"/>
      <c r="J232" s="379"/>
    </row>
    <row r="233" spans="9:10" ht="15.75" customHeight="1">
      <c r="I233" s="379"/>
      <c r="J233" s="379"/>
    </row>
    <row r="234" spans="9:10" ht="15.75" customHeight="1">
      <c r="I234" s="379"/>
      <c r="J234" s="379"/>
    </row>
    <row r="235" spans="9:10" ht="15.75" customHeight="1">
      <c r="I235" s="379"/>
      <c r="J235" s="379"/>
    </row>
    <row r="236" spans="9:10" ht="15.75" customHeight="1">
      <c r="I236" s="379"/>
      <c r="J236" s="379"/>
    </row>
    <row r="237" spans="9:10" ht="15.75" customHeight="1">
      <c r="I237" s="379"/>
      <c r="J237" s="379"/>
    </row>
    <row r="238" spans="9:10" ht="15.75" customHeight="1">
      <c r="I238" s="379"/>
      <c r="J238" s="379"/>
    </row>
    <row r="239" spans="9:10" ht="15.75" customHeight="1">
      <c r="I239" s="379"/>
      <c r="J239" s="379"/>
    </row>
    <row r="240" spans="9:10" ht="15.75" customHeight="1">
      <c r="I240" s="379"/>
      <c r="J240" s="379"/>
    </row>
    <row r="241" spans="9:10" ht="15.75" customHeight="1">
      <c r="I241" s="379"/>
      <c r="J241" s="379"/>
    </row>
    <row r="242" spans="9:10" ht="15.75" customHeight="1">
      <c r="I242" s="379"/>
      <c r="J242" s="379"/>
    </row>
    <row r="243" spans="9:10" ht="15.75" customHeight="1">
      <c r="I243" s="379"/>
      <c r="J243" s="379"/>
    </row>
    <row r="244" spans="9:10" ht="15.75" customHeight="1">
      <c r="I244" s="379"/>
      <c r="J244" s="379"/>
    </row>
    <row r="245" spans="9:10" ht="15.75" customHeight="1">
      <c r="I245" s="379"/>
      <c r="J245" s="379"/>
    </row>
    <row r="246" spans="9:10" ht="15.75" customHeight="1">
      <c r="I246" s="379"/>
      <c r="J246" s="379"/>
    </row>
    <row r="247" spans="9:10" ht="15.75" customHeight="1">
      <c r="I247" s="379"/>
      <c r="J247" s="379"/>
    </row>
    <row r="248" spans="9:10" ht="15.75" customHeight="1">
      <c r="I248" s="379"/>
      <c r="J248" s="379"/>
    </row>
    <row r="249" spans="9:10" ht="15.75" customHeight="1"/>
    <row r="250" spans="9:10" ht="15.75" customHeight="1"/>
    <row r="251" spans="9:10" ht="15.75" customHeight="1"/>
    <row r="252" spans="9:10" ht="15.75" customHeight="1"/>
    <row r="253" spans="9:10" ht="15.75" customHeight="1"/>
    <row r="254" spans="9:10" ht="15.75" customHeight="1"/>
    <row r="255" spans="9:10" ht="15.75" customHeight="1"/>
    <row r="256" spans="9:10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3">
    <dataValidation type="list" allowBlank="1" showErrorMessage="1" sqref="D36" xr:uid="{00000000-0002-0000-0300-000000000000}">
      <formula1>$I$36:$J$36</formula1>
    </dataValidation>
    <dataValidation type="decimal" allowBlank="1" showDropDown="1" showInputMessage="1" showErrorMessage="1" prompt="Retail cannot exceed 18,000 sf" sqref="C12" xr:uid="{00000000-0002-0000-0300-000001000000}">
      <formula1>0</formula1>
      <formula2>18000</formula2>
    </dataValidation>
    <dataValidation type="decimal" allowBlank="1" showInputMessage="1" showErrorMessage="1" prompt="If Phoenix Hotel is rehabbed as a shelter this cell must 60,000 SF. If not, it must be empty." sqref="D12" xr:uid="{00000000-0002-0000-0300-000002000000}">
      <formula1>0</formula1>
      <formula2>60000</formula2>
    </dataValidation>
    <dataValidation type="list" allowBlank="1" showErrorMessage="1" sqref="D35" xr:uid="{00000000-0002-0000-0300-000003000000}">
      <formula1>$I$35:$J$35</formula1>
    </dataValidation>
    <dataValidation type="decimal" allowBlank="1" showDropDown="1" showInputMessage="1" showErrorMessage="1" prompt="If rehabbed office can range from 0 to 60,000 SF." sqref="B13" xr:uid="{00000000-0002-0000-0300-000004000000}">
      <formula1>0</formula1>
      <formula2>60000</formula2>
    </dataValidation>
    <dataValidation type="list" allowBlank="1" showErrorMessage="1" sqref="D37" xr:uid="{00000000-0002-0000-0300-000005000000}">
      <formula1>$I$37:$J$37</formula1>
    </dataValidation>
    <dataValidation type="decimal" allowBlank="1" showDropDown="1" showInputMessage="1" showErrorMessage="1" prompt="Retail can range between 0 and  18,000 SF." sqref="C17" xr:uid="{00000000-0002-0000-0300-000006000000}">
      <formula1>0</formula1>
      <formula2>18000</formula2>
    </dataValidation>
    <dataValidation type="list" allowBlank="1" showErrorMessage="1" sqref="D33" xr:uid="{00000000-0002-0000-0300-000007000000}">
      <formula1>$I$33:$J$33</formula1>
    </dataValidation>
    <dataValidation type="list" allowBlank="1" showErrorMessage="1" sqref="D34" xr:uid="{00000000-0002-0000-0300-000008000000}">
      <formula1>$I$34:$J$34</formula1>
    </dataValidation>
    <dataValidation type="list" allowBlank="1" showInputMessage="1" showErrorMessage="1" prompt="Select entry from dropdown box" sqref="D18" xr:uid="{00000000-0002-0000-0300-000009000000}">
      <formula1>$I$36:$J$36</formula1>
    </dataValidation>
    <dataValidation type="list" allowBlank="1" showErrorMessage="1" sqref="D26" xr:uid="{00000000-0002-0000-0300-00000A000000}">
      <formula1>$I$26:$J$26</formula1>
    </dataValidation>
    <dataValidation type="decimal" allowBlank="1" showDropDown="1" showInputMessage="1" showErrorMessage="1" prompt="Retail can range between 0 and 12,000 SF." sqref="C24" xr:uid="{00000000-0002-0000-0300-00000B000000}">
      <formula1>0</formula1>
      <formula2>12000</formula2>
    </dataValidation>
    <dataValidation type="list" allowBlank="1" showInputMessage="1" showErrorMessage="1" prompt="Please press CANCEL and select entry from dropdown box." sqref="D25" xr:uid="{00000000-0002-0000-0300-00000C000000}">
      <formula1>$I$25:$J$25</formula1>
    </dataValidation>
    <dataValidation type="list" allowBlank="1" showErrorMessage="1" sqref="D30" xr:uid="{00000000-0002-0000-0300-00000D000000}">
      <formula1>$I$30:$J$30</formula1>
    </dataValidation>
    <dataValidation type="list" allowBlank="1" showInputMessage="1" showErrorMessage="1" prompt="Select entry from dropdown box." sqref="D19" xr:uid="{00000000-0002-0000-0300-00000E000000}">
      <formula1>$I$37:$J$37</formula1>
    </dataValidation>
    <dataValidation type="decimal" allowBlank="1" showInputMessage="1" showErrorMessage="1" prompt="Exceeds Maximum Square Feet - Please reduce the square footage entered to 12,000 sf or less." sqref="C25" xr:uid="{00000000-0002-0000-0300-00000F000000}">
      <formula1>0</formula1>
      <formula2>12000</formula2>
    </dataValidation>
    <dataValidation type="list" allowBlank="1" showErrorMessage="1" sqref="D29" xr:uid="{00000000-0002-0000-0300-000010000000}">
      <formula1>$I$29:$J$29</formula1>
    </dataValidation>
    <dataValidation type="list" allowBlank="1" showErrorMessage="1" sqref="D32" xr:uid="{00000000-0002-0000-0300-000011000000}">
      <formula1>$I$32:$J$32</formula1>
    </dataValidation>
    <dataValidation type="list" allowBlank="1" showErrorMessage="1" sqref="D27" xr:uid="{00000000-0002-0000-0300-000012000000}">
      <formula1>$I$27:$J$27</formula1>
    </dataValidation>
    <dataValidation type="decimal" allowBlank="1" showDropDown="1" showInputMessage="1" showErrorMessage="1" prompt="If rehabbed retail can range between 0 and 18,000 SF." sqref="C11" xr:uid="{00000000-0002-0000-0300-000013000000}">
      <formula1>0</formula1>
      <formula2>18000</formula2>
    </dataValidation>
    <dataValidation type="list" allowBlank="1" showErrorMessage="1" sqref="D28" xr:uid="{00000000-0002-0000-0300-000014000000}">
      <formula1>$I$28:$J$28</formula1>
    </dataValidation>
    <dataValidation type="list" allowBlank="1" showErrorMessage="1" sqref="D31" xr:uid="{00000000-0002-0000-0300-000015000000}">
      <formula1>$I$31:$J$31</formula1>
    </dataValidation>
    <dataValidation type="decimal" allowBlank="1" showDropDown="1" showInputMessage="1" showErrorMessage="1" prompt="Input percent of affordable.  Market rate will calculate automatically." sqref="C5:C6" xr:uid="{00000000-0002-0000-0300-000016000000}">
      <formula1>0</formula1>
      <formula2>1</formula2>
    </dataValidation>
  </dataValidations>
  <pageMargins left="0.7" right="0.7" top="0.75" bottom="0.75" header="0" footer="0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6310A"/>
    <outlinePr summaryBelow="0" summaryRight="0"/>
  </sheetPr>
  <dimension ref="A1:Z1000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43" customWidth="1"/>
    <col min="2" max="3" width="14.42578125" customWidth="1"/>
    <col min="4" max="4" width="2.42578125" customWidth="1"/>
    <col min="5" max="5" width="14.42578125" customWidth="1"/>
    <col min="6" max="6" width="2.42578125" customWidth="1"/>
    <col min="7" max="7" width="11.140625" customWidth="1"/>
    <col min="8" max="8" width="1.85546875" customWidth="1"/>
    <col min="9" max="9" width="14.42578125" customWidth="1"/>
    <col min="10" max="10" width="5" customWidth="1"/>
    <col min="11" max="26" width="17.28515625" customWidth="1"/>
  </cols>
  <sheetData>
    <row r="1" spans="1:26" ht="14.25" customHeight="1">
      <c r="A1" s="400" t="s">
        <v>162</v>
      </c>
      <c r="B1" s="1"/>
      <c r="C1" s="401"/>
      <c r="D1" s="401"/>
      <c r="E1" s="401"/>
      <c r="F1" s="401"/>
      <c r="G1" s="1"/>
      <c r="H1" s="1"/>
      <c r="I1" s="1"/>
      <c r="J1" s="1"/>
    </row>
    <row r="2" spans="1:26">
      <c r="A2" s="3"/>
      <c r="B2" s="4"/>
      <c r="C2" s="5"/>
      <c r="D2" s="5"/>
      <c r="E2" s="5"/>
      <c r="F2" s="5"/>
      <c r="G2" s="5"/>
      <c r="H2" s="5"/>
      <c r="I2" s="6"/>
      <c r="J2" s="2"/>
    </row>
    <row r="3" spans="1:26" ht="42" customHeight="1">
      <c r="A3" s="23"/>
      <c r="B3" s="402" t="s">
        <v>79</v>
      </c>
      <c r="C3" s="403" t="s">
        <v>163</v>
      </c>
      <c r="D3" s="404" t="s">
        <v>9</v>
      </c>
      <c r="E3" s="405" t="s">
        <v>164</v>
      </c>
      <c r="F3" s="404" t="s">
        <v>165</v>
      </c>
      <c r="G3" s="406" t="s">
        <v>166</v>
      </c>
      <c r="H3" s="406" t="s">
        <v>9</v>
      </c>
      <c r="I3" s="405" t="s">
        <v>167</v>
      </c>
      <c r="J3" s="2"/>
    </row>
    <row r="4" spans="1:26" ht="15.75" customHeight="1">
      <c r="A4" s="407" t="s">
        <v>16</v>
      </c>
      <c r="B4" s="408" t="s">
        <v>168</v>
      </c>
      <c r="C4" s="409" t="s">
        <v>169</v>
      </c>
      <c r="D4" s="410"/>
      <c r="E4" s="411"/>
      <c r="F4" s="409"/>
      <c r="G4" s="412"/>
      <c r="H4" s="412"/>
      <c r="I4" s="413"/>
      <c r="J4" s="414"/>
      <c r="K4" s="415"/>
      <c r="L4" s="415"/>
      <c r="M4" s="415"/>
      <c r="N4" s="415"/>
      <c r="O4" s="415"/>
      <c r="P4" s="415"/>
      <c r="Q4" s="415"/>
      <c r="R4" s="415"/>
      <c r="S4" s="415"/>
      <c r="T4" s="415"/>
      <c r="U4" s="415"/>
      <c r="V4" s="415"/>
      <c r="W4" s="415"/>
      <c r="X4" s="415"/>
      <c r="Y4" s="415"/>
      <c r="Z4" s="415"/>
    </row>
    <row r="5" spans="1:26" ht="15.75" customHeight="1">
      <c r="A5" s="416" t="s">
        <v>170</v>
      </c>
      <c r="B5" s="417">
        <f>ROUND('Development by Block'!AC4*'Use Allocation'!C5,0)</f>
        <v>0</v>
      </c>
      <c r="C5" s="418">
        <f>C6*1.05</f>
        <v>88200</v>
      </c>
      <c r="D5" s="419"/>
      <c r="E5" s="420">
        <f t="shared" ref="E5:E11" si="0">ROUND(B5*C5,-3)</f>
        <v>0</v>
      </c>
      <c r="F5" s="418"/>
      <c r="G5" s="421">
        <v>0.1</v>
      </c>
      <c r="H5" s="421"/>
      <c r="I5" s="422">
        <f t="shared" ref="I5:I11" si="1">ROUND(E5*G5,-3)</f>
        <v>0</v>
      </c>
      <c r="J5" s="414"/>
      <c r="K5" s="415"/>
      <c r="L5" s="415"/>
      <c r="M5" s="415"/>
      <c r="N5" s="415"/>
      <c r="O5" s="415"/>
      <c r="P5" s="415"/>
      <c r="Q5" s="415"/>
      <c r="R5" s="415"/>
      <c r="S5" s="415"/>
      <c r="T5" s="415"/>
      <c r="U5" s="415"/>
      <c r="V5" s="415"/>
      <c r="W5" s="415"/>
      <c r="X5" s="415"/>
      <c r="Y5" s="415"/>
      <c r="Z5" s="415"/>
    </row>
    <row r="6" spans="1:26" ht="15.75" customHeight="1">
      <c r="A6" s="416" t="s">
        <v>171</v>
      </c>
      <c r="B6" s="417">
        <f>ROUND('Development by Block'!AC4*'Use Allocation'!D5,0)</f>
        <v>220</v>
      </c>
      <c r="C6" s="418">
        <v>84000</v>
      </c>
      <c r="D6" s="419"/>
      <c r="E6" s="420">
        <f t="shared" si="0"/>
        <v>18480000</v>
      </c>
      <c r="F6" s="418"/>
      <c r="G6" s="421">
        <v>0</v>
      </c>
      <c r="H6" s="421"/>
      <c r="I6" s="422">
        <f t="shared" si="1"/>
        <v>0</v>
      </c>
      <c r="J6" s="414"/>
      <c r="K6" s="415"/>
      <c r="L6" s="415"/>
      <c r="M6" s="415"/>
      <c r="N6" s="415"/>
      <c r="O6" s="415"/>
      <c r="P6" s="415"/>
      <c r="Q6" s="415"/>
      <c r="R6" s="415"/>
      <c r="S6" s="415"/>
      <c r="T6" s="415"/>
      <c r="U6" s="415"/>
      <c r="V6" s="415"/>
      <c r="W6" s="415"/>
      <c r="X6" s="415"/>
      <c r="Y6" s="415"/>
      <c r="Z6" s="415"/>
    </row>
    <row r="7" spans="1:26" ht="15.75" customHeight="1">
      <c r="A7" s="416" t="s">
        <v>172</v>
      </c>
      <c r="B7" s="417">
        <f>ROUND('Development by Block'!AC5*'Use Allocation'!C6,0)</f>
        <v>0</v>
      </c>
      <c r="C7" s="418">
        <f>C8*1.05</f>
        <v>171150</v>
      </c>
      <c r="D7" s="419"/>
      <c r="E7" s="420">
        <f t="shared" si="0"/>
        <v>0</v>
      </c>
      <c r="F7" s="418"/>
      <c r="G7" s="421">
        <v>0.1</v>
      </c>
      <c r="H7" s="421"/>
      <c r="I7" s="422">
        <f t="shared" si="1"/>
        <v>0</v>
      </c>
      <c r="J7" s="414"/>
      <c r="K7" s="415"/>
      <c r="L7" s="415"/>
      <c r="M7" s="415"/>
      <c r="N7" s="415"/>
      <c r="O7" s="415"/>
      <c r="P7" s="415"/>
      <c r="Q7" s="415"/>
      <c r="R7" s="415"/>
      <c r="S7" s="415"/>
      <c r="T7" s="415"/>
      <c r="U7" s="415"/>
      <c r="V7" s="415"/>
      <c r="W7" s="415"/>
      <c r="X7" s="415"/>
      <c r="Y7" s="415"/>
      <c r="Z7" s="415"/>
    </row>
    <row r="8" spans="1:26" ht="15.75" customHeight="1">
      <c r="A8" s="416" t="s">
        <v>173</v>
      </c>
      <c r="B8" s="417">
        <f>ROUND('Development by Block'!AC5*'Use Allocation'!D6,0)</f>
        <v>0</v>
      </c>
      <c r="C8" s="418">
        <v>163000</v>
      </c>
      <c r="D8" s="419"/>
      <c r="E8" s="420">
        <f t="shared" si="0"/>
        <v>0</v>
      </c>
      <c r="F8" s="418"/>
      <c r="G8" s="421">
        <v>0</v>
      </c>
      <c r="H8" s="421"/>
      <c r="I8" s="422">
        <f t="shared" si="1"/>
        <v>0</v>
      </c>
      <c r="J8" s="414"/>
      <c r="K8" s="415"/>
      <c r="L8" s="415"/>
      <c r="M8" s="415"/>
      <c r="N8" s="415"/>
      <c r="O8" s="415"/>
      <c r="P8" s="415"/>
      <c r="Q8" s="415"/>
      <c r="R8" s="415"/>
      <c r="S8" s="415"/>
      <c r="T8" s="415"/>
      <c r="U8" s="415"/>
      <c r="V8" s="415"/>
      <c r="W8" s="415"/>
      <c r="X8" s="415"/>
      <c r="Y8" s="415"/>
      <c r="Z8" s="415"/>
    </row>
    <row r="9" spans="1:26" ht="15.75" customHeight="1">
      <c r="A9" s="416" t="s">
        <v>19</v>
      </c>
      <c r="B9" s="417">
        <f>ROUND('Development by Block'!AC6,0)</f>
        <v>48</v>
      </c>
      <c r="C9" s="418">
        <v>192000</v>
      </c>
      <c r="D9" s="419"/>
      <c r="E9" s="420">
        <f t="shared" si="0"/>
        <v>9216000</v>
      </c>
      <c r="F9" s="418"/>
      <c r="G9" s="421">
        <v>0</v>
      </c>
      <c r="H9" s="421"/>
      <c r="I9" s="422">
        <f t="shared" si="1"/>
        <v>0</v>
      </c>
      <c r="J9" s="414"/>
      <c r="K9" s="415"/>
      <c r="L9" s="415"/>
      <c r="M9" s="415"/>
      <c r="N9" s="415"/>
      <c r="O9" s="415"/>
      <c r="P9" s="415"/>
      <c r="Q9" s="415"/>
      <c r="R9" s="415"/>
      <c r="S9" s="415"/>
      <c r="T9" s="415"/>
      <c r="U9" s="415"/>
      <c r="V9" s="415"/>
      <c r="W9" s="415"/>
      <c r="X9" s="415"/>
      <c r="Y9" s="415"/>
      <c r="Z9" s="415"/>
    </row>
    <row r="10" spans="1:26" ht="15.75" customHeight="1">
      <c r="A10" s="416" t="s">
        <v>174</v>
      </c>
      <c r="B10" s="417">
        <f>'Use Allocation'!D14/500</f>
        <v>120</v>
      </c>
      <c r="C10" s="423">
        <v>0</v>
      </c>
      <c r="D10" s="424"/>
      <c r="E10" s="420">
        <f t="shared" si="0"/>
        <v>0</v>
      </c>
      <c r="F10" s="418"/>
      <c r="G10" s="421">
        <v>0</v>
      </c>
      <c r="H10" s="421"/>
      <c r="I10" s="422">
        <f t="shared" si="1"/>
        <v>0</v>
      </c>
      <c r="J10" s="414"/>
      <c r="K10" s="415"/>
      <c r="L10" s="415"/>
      <c r="M10" s="415"/>
      <c r="N10" s="415"/>
      <c r="O10" s="415"/>
      <c r="P10" s="415"/>
      <c r="Q10" s="415"/>
      <c r="R10" s="415"/>
      <c r="S10" s="415"/>
      <c r="T10" s="415"/>
      <c r="U10" s="415"/>
      <c r="V10" s="415"/>
      <c r="W10" s="415"/>
      <c r="X10" s="415"/>
      <c r="Y10" s="415"/>
      <c r="Z10" s="415"/>
    </row>
    <row r="11" spans="1:26" ht="15.75" customHeight="1">
      <c r="A11" s="416" t="s">
        <v>175</v>
      </c>
      <c r="B11" s="417">
        <f>'Development by Block'!AC7</f>
        <v>120</v>
      </c>
      <c r="C11" s="418">
        <v>0</v>
      </c>
      <c r="D11" s="419"/>
      <c r="E11" s="420">
        <f t="shared" si="0"/>
        <v>0</v>
      </c>
      <c r="F11" s="418"/>
      <c r="G11" s="421">
        <v>0</v>
      </c>
      <c r="H11" s="421"/>
      <c r="I11" s="422">
        <f t="shared" si="1"/>
        <v>0</v>
      </c>
      <c r="J11" s="414"/>
      <c r="K11" s="415"/>
      <c r="L11" s="415"/>
      <c r="M11" s="415"/>
      <c r="N11" s="415"/>
      <c r="O11" s="415"/>
      <c r="P11" s="415"/>
      <c r="Q11" s="415"/>
      <c r="R11" s="415"/>
      <c r="S11" s="415"/>
      <c r="T11" s="415"/>
      <c r="U11" s="415"/>
      <c r="V11" s="415"/>
      <c r="W11" s="415"/>
      <c r="X11" s="415"/>
      <c r="Y11" s="415"/>
      <c r="Z11" s="415"/>
    </row>
    <row r="12" spans="1:26" ht="15.75" customHeight="1">
      <c r="A12" s="407" t="s">
        <v>21</v>
      </c>
      <c r="B12" s="408" t="s">
        <v>87</v>
      </c>
      <c r="C12" s="409" t="s">
        <v>176</v>
      </c>
      <c r="D12" s="425"/>
      <c r="E12" s="411"/>
      <c r="F12" s="409"/>
      <c r="G12" s="412"/>
      <c r="H12" s="412"/>
      <c r="I12" s="413"/>
      <c r="J12" s="414"/>
      <c r="K12" s="415"/>
      <c r="L12" s="415"/>
      <c r="M12" s="415"/>
      <c r="N12" s="415"/>
      <c r="O12" s="415"/>
      <c r="P12" s="415"/>
      <c r="Q12" s="415"/>
      <c r="R12" s="415"/>
      <c r="S12" s="415"/>
      <c r="T12" s="415"/>
      <c r="U12" s="415"/>
      <c r="V12" s="415"/>
      <c r="W12" s="415"/>
      <c r="X12" s="415"/>
      <c r="Y12" s="415"/>
      <c r="Z12" s="415"/>
    </row>
    <row r="13" spans="1:26" ht="15.75" customHeight="1">
      <c r="A13" s="416" t="s">
        <v>177</v>
      </c>
      <c r="B13" s="417">
        <f>'Use Allocation'!B14</f>
        <v>0</v>
      </c>
      <c r="C13" s="423">
        <v>100</v>
      </c>
      <c r="D13" s="424"/>
      <c r="E13" s="420">
        <f t="shared" ref="E13:E17" si="2">ROUND(B13*C13,-3)</f>
        <v>0</v>
      </c>
      <c r="F13" s="418"/>
      <c r="G13" s="421">
        <v>0</v>
      </c>
      <c r="H13" s="421"/>
      <c r="I13" s="422">
        <f t="shared" ref="I13:I17" si="3">ROUND(E13*G13,-3)</f>
        <v>0</v>
      </c>
      <c r="J13" s="414"/>
      <c r="K13" s="415"/>
      <c r="L13" s="415"/>
      <c r="M13" s="415"/>
      <c r="N13" s="415"/>
      <c r="O13" s="415"/>
      <c r="P13" s="415"/>
      <c r="Q13" s="415"/>
      <c r="R13" s="415"/>
      <c r="S13" s="415"/>
      <c r="T13" s="415"/>
      <c r="U13" s="415"/>
      <c r="V13" s="415"/>
      <c r="W13" s="415"/>
      <c r="X13" s="415"/>
      <c r="Y13" s="415"/>
      <c r="Z13" s="415"/>
    </row>
    <row r="14" spans="1:26" ht="15.75" customHeight="1">
      <c r="A14" s="416" t="s">
        <v>178</v>
      </c>
      <c r="B14" s="417">
        <f>'Use Allocation'!B38</f>
        <v>16500</v>
      </c>
      <c r="C14" s="423">
        <v>100</v>
      </c>
      <c r="D14" s="424"/>
      <c r="E14" s="420">
        <f t="shared" si="2"/>
        <v>1650000</v>
      </c>
      <c r="F14" s="418"/>
      <c r="G14" s="421">
        <v>0</v>
      </c>
      <c r="H14" s="421"/>
      <c r="I14" s="422">
        <f t="shared" si="3"/>
        <v>0</v>
      </c>
      <c r="J14" s="414"/>
      <c r="K14" s="415"/>
      <c r="L14" s="415"/>
      <c r="M14" s="415"/>
      <c r="N14" s="415"/>
      <c r="O14" s="415"/>
      <c r="P14" s="415"/>
      <c r="Q14" s="415"/>
      <c r="R14" s="415"/>
      <c r="S14" s="415"/>
      <c r="T14" s="415"/>
      <c r="U14" s="415"/>
      <c r="V14" s="415"/>
      <c r="W14" s="415"/>
      <c r="X14" s="415"/>
      <c r="Y14" s="415"/>
      <c r="Z14" s="415"/>
    </row>
    <row r="15" spans="1:26" ht="15.75" customHeight="1">
      <c r="A15" s="416" t="s">
        <v>179</v>
      </c>
      <c r="B15" s="417">
        <f>'Use Allocation'!B20</f>
        <v>42000</v>
      </c>
      <c r="C15" s="423">
        <v>100</v>
      </c>
      <c r="D15" s="424"/>
      <c r="E15" s="420">
        <f t="shared" si="2"/>
        <v>4200000</v>
      </c>
      <c r="F15" s="418"/>
      <c r="G15" s="421">
        <v>0</v>
      </c>
      <c r="H15" s="421"/>
      <c r="I15" s="422">
        <f t="shared" si="3"/>
        <v>0</v>
      </c>
      <c r="J15" s="414"/>
      <c r="K15" s="415"/>
      <c r="L15" s="415"/>
      <c r="M15" s="415"/>
      <c r="N15" s="415"/>
      <c r="O15" s="415"/>
      <c r="P15" s="415"/>
      <c r="Q15" s="415"/>
      <c r="R15" s="415"/>
      <c r="S15" s="415"/>
      <c r="T15" s="415"/>
      <c r="U15" s="415"/>
      <c r="V15" s="415"/>
      <c r="W15" s="415"/>
      <c r="X15" s="415"/>
      <c r="Y15" s="415"/>
      <c r="Z15" s="415"/>
    </row>
    <row r="16" spans="1:26" ht="15.75" customHeight="1">
      <c r="A16" s="416" t="s">
        <v>180</v>
      </c>
      <c r="B16" s="417">
        <f>'Development by Block'!AC9+'Development by Block'!AC10</f>
        <v>180000</v>
      </c>
      <c r="C16" s="418">
        <v>125</v>
      </c>
      <c r="D16" s="419"/>
      <c r="E16" s="420">
        <f t="shared" si="2"/>
        <v>22500000</v>
      </c>
      <c r="F16" s="418"/>
      <c r="G16" s="421">
        <v>0</v>
      </c>
      <c r="H16" s="421"/>
      <c r="I16" s="422">
        <f t="shared" si="3"/>
        <v>0</v>
      </c>
      <c r="J16" s="414"/>
      <c r="K16" s="415"/>
      <c r="L16" s="415"/>
      <c r="M16" s="415"/>
      <c r="N16" s="415"/>
      <c r="O16" s="415"/>
      <c r="P16" s="415"/>
      <c r="Q16" s="415"/>
      <c r="R16" s="415"/>
      <c r="S16" s="415"/>
      <c r="T16" s="415"/>
      <c r="U16" s="415"/>
      <c r="V16" s="415"/>
      <c r="W16" s="415"/>
      <c r="X16" s="415"/>
      <c r="Y16" s="415"/>
      <c r="Z16" s="415"/>
    </row>
    <row r="17" spans="1:26" ht="15.75" customHeight="1">
      <c r="A17" s="416" t="s">
        <v>25</v>
      </c>
      <c r="B17" s="417">
        <f>'Development by Block'!AC11</f>
        <v>240000</v>
      </c>
      <c r="C17" s="418">
        <v>185</v>
      </c>
      <c r="D17" s="419"/>
      <c r="E17" s="420">
        <f t="shared" si="2"/>
        <v>44400000</v>
      </c>
      <c r="F17" s="418"/>
      <c r="G17" s="421">
        <v>0</v>
      </c>
      <c r="H17" s="421"/>
      <c r="I17" s="422">
        <f t="shared" si="3"/>
        <v>0</v>
      </c>
      <c r="J17" s="414"/>
      <c r="K17" s="415"/>
      <c r="L17" s="415"/>
      <c r="M17" s="415"/>
      <c r="N17" s="415"/>
      <c r="O17" s="415"/>
      <c r="P17" s="415"/>
      <c r="Q17" s="415"/>
      <c r="R17" s="415"/>
      <c r="S17" s="415"/>
      <c r="T17" s="415"/>
      <c r="U17" s="415"/>
      <c r="V17" s="415"/>
      <c r="W17" s="415"/>
      <c r="X17" s="415"/>
      <c r="Y17" s="415"/>
      <c r="Z17" s="415"/>
    </row>
    <row r="18" spans="1:26" ht="15.75" customHeight="1">
      <c r="A18" s="407" t="s">
        <v>26</v>
      </c>
      <c r="B18" s="408" t="s">
        <v>87</v>
      </c>
      <c r="C18" s="409" t="s">
        <v>176</v>
      </c>
      <c r="D18" s="425"/>
      <c r="E18" s="411"/>
      <c r="F18" s="409"/>
      <c r="G18" s="412"/>
      <c r="H18" s="412"/>
      <c r="I18" s="413"/>
      <c r="J18" s="414"/>
      <c r="K18" s="415"/>
      <c r="L18" s="415"/>
      <c r="M18" s="415"/>
      <c r="N18" s="415"/>
      <c r="O18" s="415"/>
      <c r="P18" s="415"/>
      <c r="Q18" s="415"/>
      <c r="R18" s="415"/>
      <c r="S18" s="415"/>
      <c r="T18" s="415"/>
      <c r="U18" s="415"/>
      <c r="V18" s="415"/>
      <c r="W18" s="415"/>
      <c r="X18" s="415"/>
      <c r="Y18" s="415"/>
      <c r="Z18" s="415"/>
    </row>
    <row r="19" spans="1:26" ht="15.75" customHeight="1">
      <c r="A19" s="416" t="s">
        <v>181</v>
      </c>
      <c r="B19" s="417">
        <f>'Use Allocation'!C11</f>
        <v>0</v>
      </c>
      <c r="C19" s="418">
        <v>100</v>
      </c>
      <c r="D19" s="419"/>
      <c r="E19" s="420">
        <f t="shared" ref="E19:E24" si="4">ROUND(B19*C19,-3)</f>
        <v>0</v>
      </c>
      <c r="F19" s="418"/>
      <c r="G19" s="421">
        <v>0</v>
      </c>
      <c r="H19" s="421"/>
      <c r="I19" s="422">
        <f t="shared" ref="I19:I24" si="5">ROUND(E19*G19,-3)</f>
        <v>0</v>
      </c>
      <c r="J19" s="414"/>
      <c r="K19" s="415"/>
      <c r="L19" s="415"/>
      <c r="M19" s="415"/>
      <c r="N19" s="415"/>
      <c r="O19" s="415"/>
      <c r="P19" s="415"/>
      <c r="Q19" s="415"/>
      <c r="R19" s="415"/>
      <c r="S19" s="415"/>
      <c r="T19" s="415"/>
      <c r="U19" s="415"/>
      <c r="V19" s="415"/>
      <c r="W19" s="415"/>
      <c r="X19" s="415"/>
      <c r="Y19" s="415"/>
      <c r="Z19" s="415"/>
    </row>
    <row r="20" spans="1:26" ht="15.75" customHeight="1">
      <c r="A20" s="416" t="s">
        <v>182</v>
      </c>
      <c r="B20" s="417">
        <f>ROUND(('Use Allocation'!C24/48000)*'Development by Block'!AC18,-3)</f>
        <v>12000</v>
      </c>
      <c r="C20" s="423">
        <v>100</v>
      </c>
      <c r="D20" s="424"/>
      <c r="E20" s="420">
        <f t="shared" si="4"/>
        <v>1200000</v>
      </c>
      <c r="F20" s="418"/>
      <c r="G20" s="421">
        <v>0</v>
      </c>
      <c r="H20" s="421"/>
      <c r="I20" s="422">
        <f t="shared" si="5"/>
        <v>0</v>
      </c>
      <c r="J20" s="414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415"/>
      <c r="Z20" s="415"/>
    </row>
    <row r="21" spans="1:26" ht="15.75" customHeight="1">
      <c r="A21" s="416" t="s">
        <v>183</v>
      </c>
      <c r="B21" s="417">
        <f>'Use Allocation'!C17</f>
        <v>18000</v>
      </c>
      <c r="C21" s="423">
        <v>100</v>
      </c>
      <c r="D21" s="424"/>
      <c r="E21" s="420">
        <f t="shared" si="4"/>
        <v>1800000</v>
      </c>
      <c r="F21" s="418"/>
      <c r="G21" s="421">
        <v>0</v>
      </c>
      <c r="H21" s="421"/>
      <c r="I21" s="422">
        <f t="shared" si="5"/>
        <v>0</v>
      </c>
      <c r="J21" s="414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415"/>
      <c r="Z21" s="415"/>
    </row>
    <row r="22" spans="1:26" ht="15.75" customHeight="1">
      <c r="A22" s="416" t="s">
        <v>27</v>
      </c>
      <c r="B22" s="417">
        <f>'Development by Block'!AC13</f>
        <v>25000</v>
      </c>
      <c r="C22" s="418">
        <v>100</v>
      </c>
      <c r="D22" s="419"/>
      <c r="E22" s="420">
        <f t="shared" si="4"/>
        <v>2500000</v>
      </c>
      <c r="F22" s="418"/>
      <c r="G22" s="421">
        <v>0</v>
      </c>
      <c r="H22" s="421"/>
      <c r="I22" s="422">
        <f t="shared" si="5"/>
        <v>0</v>
      </c>
      <c r="J22" s="414"/>
      <c r="K22" s="415"/>
      <c r="L22" s="415"/>
      <c r="M22" s="415"/>
      <c r="N22" s="415"/>
      <c r="O22" s="415"/>
      <c r="P22" s="415"/>
      <c r="Q22" s="415"/>
      <c r="R22" s="415"/>
      <c r="S22" s="415"/>
      <c r="T22" s="415"/>
      <c r="U22" s="415"/>
      <c r="V22" s="415"/>
      <c r="W22" s="415"/>
      <c r="X22" s="415"/>
      <c r="Y22" s="415"/>
      <c r="Z22" s="415"/>
    </row>
    <row r="23" spans="1:26" ht="15.75" customHeight="1">
      <c r="A23" s="416" t="s">
        <v>94</v>
      </c>
      <c r="B23" s="417">
        <f>'Development by Block'!AC14</f>
        <v>40000</v>
      </c>
      <c r="C23" s="418">
        <v>115</v>
      </c>
      <c r="D23" s="419"/>
      <c r="E23" s="420">
        <f t="shared" si="4"/>
        <v>4600000</v>
      </c>
      <c r="F23" s="418"/>
      <c r="G23" s="421">
        <v>0</v>
      </c>
      <c r="H23" s="421"/>
      <c r="I23" s="422">
        <f t="shared" si="5"/>
        <v>0</v>
      </c>
      <c r="J23" s="414"/>
      <c r="K23" s="415"/>
      <c r="L23" s="415"/>
      <c r="M23" s="415"/>
      <c r="N23" s="415"/>
      <c r="O23" s="415"/>
      <c r="P23" s="415"/>
      <c r="Q23" s="415"/>
      <c r="R23" s="415"/>
      <c r="S23" s="415"/>
      <c r="T23" s="415"/>
      <c r="U23" s="415"/>
      <c r="V23" s="415"/>
      <c r="W23" s="415"/>
      <c r="X23" s="415"/>
      <c r="Y23" s="415"/>
      <c r="Z23" s="415"/>
    </row>
    <row r="24" spans="1:26" ht="15.75" customHeight="1">
      <c r="A24" s="416" t="s">
        <v>96</v>
      </c>
      <c r="B24" s="417">
        <f>'Development by Block'!AC15</f>
        <v>0</v>
      </c>
      <c r="C24" s="418">
        <v>125</v>
      </c>
      <c r="D24" s="419"/>
      <c r="E24" s="420">
        <f t="shared" si="4"/>
        <v>0</v>
      </c>
      <c r="F24" s="418"/>
      <c r="G24" s="421">
        <v>0</v>
      </c>
      <c r="H24" s="421"/>
      <c r="I24" s="422">
        <f t="shared" si="5"/>
        <v>0</v>
      </c>
      <c r="J24" s="414"/>
      <c r="K24" s="415"/>
      <c r="L24" s="415"/>
      <c r="M24" s="415"/>
      <c r="N24" s="415"/>
      <c r="O24" s="415"/>
      <c r="P24" s="415"/>
      <c r="Q24" s="415"/>
      <c r="R24" s="415"/>
      <c r="S24" s="415"/>
      <c r="T24" s="415"/>
      <c r="U24" s="415"/>
      <c r="V24" s="415"/>
      <c r="W24" s="415"/>
      <c r="X24" s="415"/>
      <c r="Y24" s="415"/>
      <c r="Z24" s="415"/>
    </row>
    <row r="25" spans="1:26" ht="15.75" customHeight="1">
      <c r="A25" s="407" t="s">
        <v>184</v>
      </c>
      <c r="B25" s="408" t="s">
        <v>87</v>
      </c>
      <c r="C25" s="409" t="s">
        <v>185</v>
      </c>
      <c r="D25" s="425"/>
      <c r="E25" s="411"/>
      <c r="F25" s="409"/>
      <c r="G25" s="412"/>
      <c r="H25" s="412"/>
      <c r="I25" s="413"/>
      <c r="J25" s="414"/>
      <c r="K25" s="415"/>
      <c r="L25" s="415"/>
      <c r="M25" s="415"/>
      <c r="N25" s="415"/>
      <c r="O25" s="415"/>
      <c r="P25" s="415"/>
      <c r="Q25" s="415"/>
      <c r="R25" s="415"/>
      <c r="S25" s="415"/>
      <c r="T25" s="415"/>
      <c r="U25" s="415"/>
      <c r="V25" s="415"/>
      <c r="W25" s="415"/>
      <c r="X25" s="415"/>
      <c r="Y25" s="415"/>
      <c r="Z25" s="415"/>
    </row>
    <row r="26" spans="1:26" ht="15.75" customHeight="1">
      <c r="A26" s="416" t="s">
        <v>186</v>
      </c>
      <c r="B26" s="417">
        <f>SUM('Use Allocation'!D25:D35)</f>
        <v>19500</v>
      </c>
      <c r="C26" s="423">
        <v>100</v>
      </c>
      <c r="D26" s="424"/>
      <c r="E26" s="420">
        <f t="shared" ref="E26:E28" si="6">ROUND(B26*C26,-3)</f>
        <v>1950000</v>
      </c>
      <c r="F26" s="418"/>
      <c r="G26" s="421">
        <v>0.15</v>
      </c>
      <c r="H26" s="421"/>
      <c r="I26" s="422">
        <f t="shared" ref="I26:I28" si="7">ROUND(E26*G26,-3)</f>
        <v>293000</v>
      </c>
      <c r="J26" s="414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  <c r="V26" s="415"/>
      <c r="W26" s="415"/>
      <c r="X26" s="415"/>
      <c r="Y26" s="415"/>
      <c r="Z26" s="415"/>
    </row>
    <row r="27" spans="1:26" ht="15.75" customHeight="1">
      <c r="A27" s="416" t="s">
        <v>187</v>
      </c>
      <c r="B27" s="417">
        <f>'Use Allocation'!D36+'Use Allocation'!D37</f>
        <v>0</v>
      </c>
      <c r="C27" s="423">
        <v>100</v>
      </c>
      <c r="D27" s="424"/>
      <c r="E27" s="420">
        <f t="shared" si="6"/>
        <v>0</v>
      </c>
      <c r="F27" s="418"/>
      <c r="G27" s="421">
        <v>0</v>
      </c>
      <c r="H27" s="421"/>
      <c r="I27" s="422">
        <f t="shared" si="7"/>
        <v>0</v>
      </c>
      <c r="J27" s="414"/>
      <c r="K27" s="415"/>
      <c r="L27" s="415"/>
      <c r="M27" s="415"/>
      <c r="N27" s="415"/>
      <c r="O27" s="415"/>
      <c r="P27" s="415"/>
      <c r="Q27" s="415"/>
      <c r="R27" s="415"/>
      <c r="S27" s="415"/>
      <c r="T27" s="415"/>
      <c r="U27" s="415"/>
      <c r="V27" s="415"/>
      <c r="W27" s="415"/>
      <c r="X27" s="415"/>
      <c r="Y27" s="415"/>
      <c r="Z27" s="415"/>
    </row>
    <row r="28" spans="1:26" ht="15.75" customHeight="1">
      <c r="A28" s="416" t="s">
        <v>188</v>
      </c>
      <c r="B28" s="417">
        <f>'Use Allocation'!D19+'Use Allocation'!D18</f>
        <v>0</v>
      </c>
      <c r="C28" s="423">
        <v>100</v>
      </c>
      <c r="D28" s="424"/>
      <c r="E28" s="420">
        <f t="shared" si="6"/>
        <v>0</v>
      </c>
      <c r="F28" s="418"/>
      <c r="G28" s="421">
        <v>0</v>
      </c>
      <c r="H28" s="421"/>
      <c r="I28" s="422">
        <f t="shared" si="7"/>
        <v>0</v>
      </c>
      <c r="J28" s="414"/>
      <c r="K28" s="415"/>
      <c r="L28" s="415"/>
      <c r="M28" s="415"/>
      <c r="N28" s="415"/>
      <c r="O28" s="415"/>
      <c r="P28" s="415"/>
      <c r="Q28" s="415"/>
      <c r="R28" s="415"/>
      <c r="S28" s="415"/>
      <c r="T28" s="415"/>
      <c r="U28" s="415"/>
      <c r="V28" s="415"/>
      <c r="W28" s="415"/>
      <c r="X28" s="415"/>
      <c r="Y28" s="415"/>
      <c r="Z28" s="415"/>
    </row>
    <row r="29" spans="1:26" ht="15.75" customHeight="1">
      <c r="A29" s="407" t="s">
        <v>34</v>
      </c>
      <c r="B29" s="408" t="str">
        <f>'Development by Block'!AC20</f>
        <v>Total SF</v>
      </c>
      <c r="C29" s="426"/>
      <c r="D29" s="410"/>
      <c r="E29" s="411"/>
      <c r="F29" s="409"/>
      <c r="G29" s="412"/>
      <c r="H29" s="412"/>
      <c r="I29" s="413"/>
      <c r="J29" s="414"/>
      <c r="K29" s="415"/>
      <c r="L29" s="415"/>
      <c r="M29" s="415"/>
      <c r="N29" s="415"/>
      <c r="O29" s="415"/>
      <c r="P29" s="415"/>
      <c r="Q29" s="415"/>
      <c r="R29" s="415"/>
      <c r="S29" s="415"/>
      <c r="T29" s="415"/>
      <c r="U29" s="415"/>
      <c r="V29" s="415"/>
      <c r="W29" s="415"/>
      <c r="X29" s="415"/>
      <c r="Y29" s="415"/>
      <c r="Z29" s="415"/>
    </row>
    <row r="30" spans="1:26" ht="15.75" customHeight="1">
      <c r="A30" s="416" t="s">
        <v>35</v>
      </c>
      <c r="B30" s="417">
        <f>'Development by Block'!AC21</f>
        <v>15000</v>
      </c>
      <c r="C30" s="418">
        <v>37</v>
      </c>
      <c r="D30" s="419"/>
      <c r="E30" s="420">
        <f t="shared" ref="E30:E32" si="8">ROUND(B30*C30,-3)</f>
        <v>555000</v>
      </c>
      <c r="F30" s="418"/>
      <c r="G30" s="421">
        <v>0.5</v>
      </c>
      <c r="H30" s="421"/>
      <c r="I30" s="422">
        <f t="shared" ref="I30:I32" si="9">ROUND(E30*G30,-3)</f>
        <v>278000</v>
      </c>
      <c r="J30" s="414"/>
      <c r="K30" s="415"/>
      <c r="L30" s="415"/>
      <c r="M30" s="415"/>
      <c r="N30" s="415"/>
      <c r="O30" s="415"/>
      <c r="P30" s="415"/>
      <c r="Q30" s="415"/>
      <c r="R30" s="415"/>
      <c r="S30" s="415"/>
      <c r="T30" s="415"/>
      <c r="U30" s="415"/>
      <c r="V30" s="415"/>
      <c r="W30" s="415"/>
      <c r="X30" s="415"/>
      <c r="Y30" s="415"/>
      <c r="Z30" s="415"/>
    </row>
    <row r="31" spans="1:26" ht="15.75" customHeight="1">
      <c r="A31" s="416" t="s">
        <v>36</v>
      </c>
      <c r="B31" s="417">
        <f>'Development by Block'!AC22</f>
        <v>10000</v>
      </c>
      <c r="C31" s="418">
        <v>39</v>
      </c>
      <c r="D31" s="419"/>
      <c r="E31" s="420">
        <f t="shared" si="8"/>
        <v>390000</v>
      </c>
      <c r="F31" s="418"/>
      <c r="G31" s="421">
        <v>0.5</v>
      </c>
      <c r="H31" s="421"/>
      <c r="I31" s="422">
        <f t="shared" si="9"/>
        <v>195000</v>
      </c>
      <c r="J31" s="414"/>
      <c r="K31" s="415"/>
      <c r="L31" s="415"/>
      <c r="M31" s="415"/>
      <c r="N31" s="415"/>
      <c r="O31" s="415"/>
      <c r="P31" s="415"/>
      <c r="Q31" s="415"/>
      <c r="R31" s="415"/>
      <c r="S31" s="415"/>
      <c r="T31" s="415"/>
      <c r="U31" s="415"/>
      <c r="V31" s="415"/>
      <c r="W31" s="415"/>
      <c r="X31" s="415"/>
      <c r="Y31" s="415"/>
      <c r="Z31" s="415"/>
    </row>
    <row r="32" spans="1:26" ht="15.75" customHeight="1">
      <c r="A32" s="416" t="s">
        <v>37</v>
      </c>
      <c r="B32" s="417">
        <f>'Development by Block'!AC23</f>
        <v>10000</v>
      </c>
      <c r="C32" s="418">
        <v>60</v>
      </c>
      <c r="D32" s="419"/>
      <c r="E32" s="420">
        <f t="shared" si="8"/>
        <v>600000</v>
      </c>
      <c r="F32" s="418"/>
      <c r="G32" s="421">
        <v>0.5</v>
      </c>
      <c r="H32" s="421"/>
      <c r="I32" s="422">
        <f t="shared" si="9"/>
        <v>300000</v>
      </c>
      <c r="J32" s="414"/>
      <c r="K32" s="415"/>
      <c r="L32" s="415"/>
      <c r="M32" s="415"/>
      <c r="N32" s="415"/>
      <c r="O32" s="415"/>
      <c r="P32" s="415"/>
      <c r="Q32" s="415"/>
      <c r="R32" s="415"/>
      <c r="S32" s="415"/>
      <c r="T32" s="415"/>
      <c r="U32" s="415"/>
      <c r="V32" s="415"/>
      <c r="W32" s="415"/>
      <c r="X32" s="415"/>
      <c r="Y32" s="415"/>
      <c r="Z32" s="415"/>
    </row>
    <row r="33" spans="1:26" ht="15.75" customHeight="1">
      <c r="A33" s="407" t="s">
        <v>189</v>
      </c>
      <c r="B33" s="408"/>
      <c r="C33" s="409"/>
      <c r="D33" s="425"/>
      <c r="E33" s="411"/>
      <c r="F33" s="409"/>
      <c r="G33" s="412"/>
      <c r="H33" s="412"/>
      <c r="I33" s="413"/>
      <c r="J33" s="414"/>
      <c r="K33" s="415"/>
      <c r="L33" s="415"/>
      <c r="M33" s="415"/>
      <c r="N33" s="415"/>
      <c r="O33" s="415"/>
      <c r="P33" s="415"/>
      <c r="Q33" s="415"/>
      <c r="R33" s="415"/>
      <c r="S33" s="415"/>
      <c r="T33" s="415"/>
      <c r="U33" s="415"/>
      <c r="V33" s="415"/>
      <c r="W33" s="415"/>
      <c r="X33" s="415"/>
      <c r="Y33" s="415"/>
      <c r="Z33" s="415"/>
    </row>
    <row r="34" spans="1:26" ht="15.75" customHeight="1">
      <c r="A34" s="416" t="s">
        <v>190</v>
      </c>
      <c r="B34" s="417"/>
      <c r="C34" s="423">
        <f>IF('Use Allocation'!D14/60000+B11&lt;100,IF(B10&lt;120,750000,0),0)</f>
        <v>0</v>
      </c>
      <c r="D34" s="424"/>
      <c r="E34" s="420">
        <f>C34</f>
        <v>0</v>
      </c>
      <c r="F34" s="418"/>
      <c r="G34" s="421">
        <v>0</v>
      </c>
      <c r="H34" s="421"/>
      <c r="I34" s="422"/>
      <c r="J34" s="414"/>
      <c r="K34" s="415"/>
      <c r="L34" s="415"/>
      <c r="M34" s="415"/>
      <c r="N34" s="415"/>
      <c r="O34" s="415"/>
      <c r="P34" s="415"/>
      <c r="Q34" s="415"/>
      <c r="R34" s="415"/>
      <c r="S34" s="415"/>
      <c r="T34" s="415"/>
      <c r="U34" s="415"/>
      <c r="V34" s="415"/>
      <c r="W34" s="415"/>
      <c r="X34" s="415"/>
      <c r="Y34" s="415"/>
      <c r="Z34" s="415"/>
    </row>
    <row r="35" spans="1:26" ht="15.75" customHeight="1">
      <c r="A35" s="407" t="s">
        <v>105</v>
      </c>
      <c r="B35" s="408" t="str">
        <f>'Development by Block'!AC24</f>
        <v>Total Spaces</v>
      </c>
      <c r="C35" s="426"/>
      <c r="D35" s="410"/>
      <c r="E35" s="411"/>
      <c r="F35" s="409"/>
      <c r="G35" s="412"/>
      <c r="H35" s="412"/>
      <c r="I35" s="413"/>
      <c r="J35" s="414"/>
      <c r="K35" s="415"/>
      <c r="L35" s="415"/>
      <c r="M35" s="415"/>
      <c r="N35" s="415"/>
      <c r="O35" s="415"/>
      <c r="P35" s="415"/>
      <c r="Q35" s="415"/>
      <c r="R35" s="415"/>
      <c r="S35" s="415"/>
      <c r="T35" s="415"/>
      <c r="U35" s="415"/>
      <c r="V35" s="415"/>
      <c r="W35" s="415"/>
      <c r="X35" s="415"/>
      <c r="Y35" s="415"/>
      <c r="Z35" s="415"/>
    </row>
    <row r="36" spans="1:26" ht="15.75" customHeight="1">
      <c r="A36" s="416" t="s">
        <v>191</v>
      </c>
      <c r="B36" s="417">
        <f>'Development by Block'!AC25</f>
        <v>0</v>
      </c>
      <c r="C36" s="418"/>
      <c r="D36" s="419"/>
      <c r="E36" s="420"/>
      <c r="F36" s="418"/>
      <c r="G36" s="421"/>
      <c r="H36" s="421"/>
      <c r="I36" s="422"/>
      <c r="J36" s="414"/>
      <c r="K36" s="415"/>
      <c r="L36" s="415"/>
      <c r="M36" s="415"/>
      <c r="N36" s="415"/>
      <c r="O36" s="415"/>
      <c r="P36" s="415"/>
      <c r="Q36" s="415"/>
      <c r="R36" s="415"/>
      <c r="S36" s="415"/>
      <c r="T36" s="415"/>
      <c r="U36" s="415"/>
      <c r="V36" s="415"/>
      <c r="W36" s="415"/>
      <c r="X36" s="415"/>
      <c r="Y36" s="415"/>
      <c r="Z36" s="415"/>
    </row>
    <row r="37" spans="1:26" ht="15.75" customHeight="1">
      <c r="A37" s="416" t="s">
        <v>192</v>
      </c>
      <c r="B37" s="417">
        <f>'Development by Block'!AC26</f>
        <v>75</v>
      </c>
      <c r="C37" s="418"/>
      <c r="D37" s="419"/>
      <c r="E37" s="420"/>
      <c r="F37" s="418"/>
      <c r="G37" s="421"/>
      <c r="H37" s="421"/>
      <c r="I37" s="422"/>
      <c r="J37" s="414"/>
      <c r="K37" s="415"/>
      <c r="L37" s="415"/>
      <c r="M37" s="415"/>
      <c r="N37" s="415"/>
      <c r="O37" s="415"/>
      <c r="P37" s="415"/>
      <c r="Q37" s="415"/>
      <c r="R37" s="415"/>
      <c r="S37" s="415"/>
      <c r="T37" s="415"/>
      <c r="U37" s="415"/>
      <c r="V37" s="415"/>
      <c r="W37" s="415"/>
      <c r="X37" s="415"/>
      <c r="Y37" s="415"/>
      <c r="Z37" s="415"/>
    </row>
    <row r="38" spans="1:26" ht="15.75" customHeight="1">
      <c r="A38" s="416" t="s">
        <v>193</v>
      </c>
      <c r="B38" s="417">
        <f>'Development by Block'!AC27</f>
        <v>360</v>
      </c>
      <c r="C38" s="418"/>
      <c r="D38" s="419"/>
      <c r="E38" s="420"/>
      <c r="F38" s="418"/>
      <c r="G38" s="421"/>
      <c r="H38" s="421"/>
      <c r="I38" s="422"/>
      <c r="J38" s="414"/>
      <c r="K38" s="415"/>
      <c r="L38" s="415"/>
      <c r="M38" s="415"/>
      <c r="N38" s="415"/>
      <c r="O38" s="415"/>
      <c r="P38" s="415"/>
      <c r="Q38" s="415"/>
      <c r="R38" s="415"/>
      <c r="S38" s="415"/>
      <c r="T38" s="415"/>
      <c r="U38" s="415"/>
      <c r="V38" s="415"/>
      <c r="W38" s="415"/>
      <c r="X38" s="415"/>
      <c r="Y38" s="415"/>
      <c r="Z38" s="415"/>
    </row>
    <row r="39" spans="1:26" ht="15.75" customHeight="1">
      <c r="A39" s="416" t="s">
        <v>194</v>
      </c>
      <c r="B39" s="417">
        <f>'Development by Block'!AC28</f>
        <v>480</v>
      </c>
      <c r="C39" s="418"/>
      <c r="D39" s="419"/>
      <c r="E39" s="420"/>
      <c r="F39" s="418"/>
      <c r="G39" s="421"/>
      <c r="H39" s="421"/>
      <c r="I39" s="422"/>
      <c r="J39" s="414"/>
      <c r="K39" s="415"/>
      <c r="L39" s="415"/>
      <c r="M39" s="415"/>
      <c r="N39" s="415"/>
      <c r="O39" s="415"/>
      <c r="P39" s="415"/>
      <c r="Q39" s="415"/>
      <c r="R39" s="415"/>
      <c r="S39" s="415"/>
      <c r="T39" s="415"/>
      <c r="U39" s="415"/>
      <c r="V39" s="415"/>
      <c r="W39" s="415"/>
      <c r="X39" s="415"/>
      <c r="Y39" s="415"/>
      <c r="Z39" s="415"/>
    </row>
    <row r="40" spans="1:26" ht="15.75" customHeight="1">
      <c r="A40" s="416" t="s">
        <v>195</v>
      </c>
      <c r="B40" s="417">
        <f>'Development by Block'!AC29</f>
        <v>160</v>
      </c>
      <c r="C40" s="418"/>
      <c r="D40" s="419"/>
      <c r="E40" s="420"/>
      <c r="F40" s="418"/>
      <c r="G40" s="421"/>
      <c r="H40" s="421"/>
      <c r="I40" s="422"/>
      <c r="J40" s="414"/>
      <c r="K40" s="415"/>
      <c r="L40" s="415"/>
      <c r="M40" s="415"/>
      <c r="N40" s="415"/>
      <c r="O40" s="415"/>
      <c r="P40" s="415"/>
      <c r="Q40" s="415"/>
      <c r="R40" s="415"/>
      <c r="S40" s="415"/>
      <c r="T40" s="415"/>
      <c r="U40" s="415"/>
      <c r="V40" s="415"/>
      <c r="W40" s="415"/>
      <c r="X40" s="415"/>
      <c r="Y40" s="415"/>
      <c r="Z40" s="415"/>
    </row>
    <row r="41" spans="1:26" ht="15.75" customHeight="1">
      <c r="A41" s="416" t="s">
        <v>196</v>
      </c>
      <c r="B41" s="417">
        <f>'Development by Block'!AC30</f>
        <v>0</v>
      </c>
      <c r="C41" s="418"/>
      <c r="D41" s="419"/>
      <c r="E41" s="420"/>
      <c r="F41" s="418"/>
      <c r="G41" s="421"/>
      <c r="H41" s="421"/>
      <c r="I41" s="422"/>
      <c r="J41" s="414"/>
      <c r="K41" s="415"/>
      <c r="L41" s="415"/>
      <c r="M41" s="415"/>
      <c r="N41" s="415"/>
      <c r="O41" s="415"/>
      <c r="P41" s="415"/>
      <c r="Q41" s="415"/>
      <c r="R41" s="415"/>
      <c r="S41" s="415"/>
      <c r="T41" s="415"/>
      <c r="U41" s="415"/>
      <c r="V41" s="415"/>
      <c r="W41" s="415"/>
      <c r="X41" s="415"/>
      <c r="Y41" s="415"/>
      <c r="Z41" s="415"/>
    </row>
    <row r="42" spans="1:26" ht="15.75" customHeight="1">
      <c r="A42" s="407" t="s">
        <v>197</v>
      </c>
      <c r="B42" s="427"/>
      <c r="C42" s="428"/>
      <c r="D42" s="429"/>
      <c r="E42" s="430"/>
      <c r="F42" s="428"/>
      <c r="G42" s="431"/>
      <c r="H42" s="431"/>
      <c r="I42" s="432">
        <v>10000000</v>
      </c>
      <c r="J42" s="414"/>
      <c r="K42" s="415"/>
      <c r="L42" s="415"/>
      <c r="M42" s="415"/>
      <c r="N42" s="415"/>
      <c r="O42" s="415"/>
      <c r="P42" s="415"/>
      <c r="Q42" s="415"/>
      <c r="R42" s="415"/>
      <c r="S42" s="415"/>
      <c r="T42" s="415"/>
      <c r="U42" s="415"/>
      <c r="V42" s="415"/>
      <c r="W42" s="415"/>
      <c r="X42" s="415"/>
      <c r="Y42" s="415"/>
      <c r="Z42" s="415"/>
    </row>
    <row r="43" spans="1:26" ht="15.75" customHeight="1">
      <c r="A43" s="433" t="s">
        <v>127</v>
      </c>
      <c r="B43" s="434"/>
      <c r="C43" s="435"/>
      <c r="D43" s="436"/>
      <c r="E43" s="437">
        <f>SUM(E5:E42)</f>
        <v>114041000</v>
      </c>
      <c r="F43" s="435"/>
      <c r="G43" s="438"/>
      <c r="H43" s="438"/>
      <c r="I43" s="439">
        <f>SUM(I5:I42)</f>
        <v>11066000</v>
      </c>
      <c r="J43" s="414"/>
      <c r="K43" s="415"/>
      <c r="L43" s="415"/>
      <c r="M43" s="415"/>
      <c r="N43" s="415"/>
      <c r="O43" s="415"/>
      <c r="P43" s="415"/>
      <c r="Q43" s="415"/>
      <c r="R43" s="415"/>
      <c r="S43" s="415"/>
      <c r="T43" s="415"/>
      <c r="U43" s="415"/>
      <c r="V43" s="415"/>
      <c r="W43" s="415"/>
      <c r="X43" s="415"/>
      <c r="Y43" s="415"/>
      <c r="Z43" s="415"/>
    </row>
    <row r="44" spans="1:26" ht="12" customHeight="1">
      <c r="A44" s="107"/>
      <c r="B44" s="2"/>
      <c r="C44" s="440"/>
      <c r="D44" s="440"/>
      <c r="E44" s="440"/>
      <c r="F44" s="440"/>
      <c r="G44" s="441"/>
      <c r="H44" s="441"/>
      <c r="I44" s="440"/>
      <c r="J44" s="2"/>
    </row>
    <row r="45" spans="1:26" ht="13.5" customHeight="1">
      <c r="A45" s="442"/>
      <c r="B45" s="442"/>
      <c r="C45" s="442"/>
      <c r="D45" s="442"/>
      <c r="E45" s="442"/>
      <c r="F45" s="442"/>
      <c r="G45" s="442"/>
      <c r="H45" s="442"/>
      <c r="I45" s="442"/>
      <c r="J45" s="442"/>
    </row>
    <row r="46" spans="1:26" ht="13.5" customHeight="1">
      <c r="A46" s="442"/>
      <c r="B46" s="442"/>
      <c r="C46" s="442"/>
      <c r="D46" s="442"/>
      <c r="E46" s="442"/>
      <c r="F46" s="442"/>
      <c r="G46" s="442"/>
      <c r="H46" s="442"/>
      <c r="I46" s="442"/>
      <c r="J46" s="442"/>
    </row>
    <row r="47" spans="1:26" ht="13.5" customHeight="1">
      <c r="A47" s="442"/>
      <c r="B47" s="442"/>
      <c r="C47" s="442"/>
      <c r="D47" s="442"/>
      <c r="E47" s="442"/>
      <c r="F47" s="442"/>
      <c r="G47" s="442"/>
      <c r="H47" s="442"/>
      <c r="I47" s="442"/>
      <c r="J47" s="442"/>
    </row>
    <row r="48" spans="1:26" ht="13.5" customHeight="1">
      <c r="A48" s="442"/>
      <c r="B48" s="442"/>
      <c r="C48" s="442"/>
      <c r="D48" s="442"/>
      <c r="E48" s="442"/>
      <c r="F48" s="442"/>
      <c r="G48" s="442"/>
      <c r="H48" s="442"/>
      <c r="I48" s="442"/>
      <c r="J48" s="442"/>
    </row>
    <row r="49" spans="1:10" ht="13.5" customHeight="1">
      <c r="A49" s="442"/>
      <c r="B49" s="442"/>
      <c r="C49" s="442"/>
      <c r="D49" s="442"/>
      <c r="E49" s="442"/>
      <c r="F49" s="442"/>
      <c r="G49" s="442"/>
      <c r="H49" s="442"/>
      <c r="I49" s="442"/>
      <c r="J49" s="442"/>
    </row>
    <row r="50" spans="1:10" ht="13.5" customHeight="1">
      <c r="A50" s="442"/>
      <c r="B50" s="442"/>
      <c r="C50" s="442"/>
      <c r="D50" s="442"/>
      <c r="E50" s="442"/>
      <c r="F50" s="442"/>
      <c r="G50" s="442"/>
      <c r="H50" s="442"/>
      <c r="I50" s="442"/>
      <c r="J50" s="442"/>
    </row>
    <row r="51" spans="1:10" ht="13.5" customHeight="1">
      <c r="A51" s="442"/>
      <c r="B51" s="442"/>
      <c r="C51" s="442"/>
      <c r="D51" s="442"/>
      <c r="E51" s="442"/>
      <c r="F51" s="442"/>
      <c r="G51" s="442"/>
      <c r="H51" s="442"/>
      <c r="I51" s="442"/>
      <c r="J51" s="442"/>
    </row>
    <row r="52" spans="1:10" ht="13.5" customHeight="1">
      <c r="A52" s="442"/>
      <c r="B52" s="442"/>
      <c r="C52" s="442"/>
      <c r="D52" s="442"/>
      <c r="E52" s="442"/>
      <c r="F52" s="442"/>
      <c r="G52" s="442"/>
      <c r="H52" s="442"/>
      <c r="I52" s="442"/>
      <c r="J52" s="442"/>
    </row>
    <row r="53" spans="1:10" ht="13.5" customHeight="1">
      <c r="A53" s="442"/>
      <c r="B53" s="442"/>
      <c r="C53" s="442"/>
      <c r="D53" s="442"/>
      <c r="E53" s="442"/>
      <c r="F53" s="442"/>
      <c r="G53" s="442"/>
      <c r="H53" s="442"/>
      <c r="I53" s="442"/>
      <c r="J53" s="442"/>
    </row>
    <row r="54" spans="1:10" ht="13.5" customHeight="1">
      <c r="A54" s="442"/>
      <c r="B54" s="442"/>
      <c r="C54" s="442"/>
      <c r="D54" s="442"/>
      <c r="E54" s="442"/>
      <c r="F54" s="442"/>
      <c r="G54" s="442"/>
      <c r="H54" s="442"/>
      <c r="I54" s="442"/>
      <c r="J54" s="442"/>
    </row>
    <row r="55" spans="1:10" ht="13.5" customHeight="1">
      <c r="A55" s="442"/>
      <c r="B55" s="442"/>
      <c r="C55" s="442"/>
      <c r="D55" s="442"/>
      <c r="E55" s="442"/>
      <c r="F55" s="442"/>
      <c r="G55" s="442"/>
      <c r="H55" s="442"/>
      <c r="I55" s="442"/>
      <c r="J55" s="442"/>
    </row>
    <row r="56" spans="1:10" ht="13.5" customHeight="1">
      <c r="A56" s="442"/>
      <c r="B56" s="442"/>
      <c r="C56" s="442"/>
      <c r="D56" s="442"/>
      <c r="E56" s="442"/>
      <c r="F56" s="442"/>
      <c r="G56" s="442"/>
      <c r="H56" s="442"/>
      <c r="I56" s="442"/>
      <c r="J56" s="442"/>
    </row>
    <row r="57" spans="1:10" ht="13.5" customHeight="1">
      <c r="A57" s="442"/>
      <c r="B57" s="442"/>
      <c r="C57" s="442"/>
      <c r="D57" s="442"/>
      <c r="E57" s="442"/>
      <c r="F57" s="442"/>
      <c r="G57" s="442"/>
      <c r="H57" s="442"/>
      <c r="I57" s="442"/>
      <c r="J57" s="442"/>
    </row>
    <row r="58" spans="1:10" ht="13.5" customHeight="1">
      <c r="A58" s="442"/>
      <c r="B58" s="442"/>
      <c r="C58" s="442"/>
      <c r="D58" s="442"/>
      <c r="E58" s="442"/>
      <c r="F58" s="442"/>
      <c r="G58" s="442"/>
      <c r="H58" s="442"/>
      <c r="I58" s="442"/>
      <c r="J58" s="442"/>
    </row>
    <row r="59" spans="1:10" ht="13.5" customHeight="1">
      <c r="A59" s="442"/>
      <c r="B59" s="442"/>
      <c r="C59" s="442"/>
      <c r="D59" s="442"/>
      <c r="E59" s="442"/>
      <c r="F59" s="442"/>
      <c r="G59" s="442"/>
      <c r="H59" s="442"/>
      <c r="I59" s="442"/>
      <c r="J59" s="442"/>
    </row>
    <row r="60" spans="1:10" ht="13.5" customHeight="1">
      <c r="A60" s="442"/>
      <c r="B60" s="442"/>
      <c r="C60" s="442"/>
      <c r="D60" s="442"/>
      <c r="E60" s="442"/>
      <c r="F60" s="442"/>
      <c r="G60" s="442"/>
      <c r="H60" s="442"/>
      <c r="I60" s="442"/>
      <c r="J60" s="442"/>
    </row>
    <row r="61" spans="1:10" ht="13.5" customHeight="1">
      <c r="A61" s="442"/>
      <c r="B61" s="442"/>
      <c r="C61" s="442"/>
      <c r="D61" s="442"/>
      <c r="E61" s="442"/>
      <c r="F61" s="442"/>
      <c r="G61" s="442"/>
      <c r="H61" s="442"/>
      <c r="I61" s="442"/>
      <c r="J61" s="442"/>
    </row>
    <row r="62" spans="1:10" ht="13.5" customHeight="1">
      <c r="A62" s="442"/>
      <c r="B62" s="442"/>
      <c r="C62" s="442"/>
      <c r="D62" s="442"/>
      <c r="E62" s="442"/>
      <c r="F62" s="442"/>
      <c r="G62" s="442"/>
      <c r="H62" s="442"/>
      <c r="I62" s="442"/>
      <c r="J62" s="442"/>
    </row>
    <row r="63" spans="1:10" ht="13.5" customHeight="1">
      <c r="A63" s="442"/>
      <c r="B63" s="442"/>
      <c r="C63" s="442"/>
      <c r="D63" s="442"/>
      <c r="E63" s="442"/>
      <c r="F63" s="442"/>
      <c r="G63" s="442"/>
      <c r="H63" s="442"/>
      <c r="I63" s="442"/>
      <c r="J63" s="442"/>
    </row>
    <row r="64" spans="1:10" ht="13.5" customHeight="1">
      <c r="A64" s="442"/>
      <c r="B64" s="442"/>
      <c r="C64" s="442"/>
      <c r="D64" s="442"/>
      <c r="E64" s="442"/>
      <c r="F64" s="442"/>
      <c r="G64" s="442"/>
      <c r="H64" s="442"/>
      <c r="I64" s="442"/>
      <c r="J64" s="442"/>
    </row>
    <row r="65" spans="1:10" ht="13.5" customHeight="1">
      <c r="A65" s="442"/>
      <c r="B65" s="442"/>
      <c r="C65" s="442"/>
      <c r="D65" s="442"/>
      <c r="E65" s="442"/>
      <c r="F65" s="442"/>
      <c r="G65" s="442"/>
      <c r="H65" s="442"/>
      <c r="I65" s="442"/>
      <c r="J65" s="442"/>
    </row>
    <row r="66" spans="1:10" ht="13.5" customHeight="1">
      <c r="A66" s="442"/>
      <c r="B66" s="442"/>
      <c r="C66" s="442"/>
      <c r="D66" s="442"/>
      <c r="E66" s="442"/>
      <c r="F66" s="442"/>
      <c r="G66" s="442"/>
      <c r="H66" s="442"/>
      <c r="I66" s="442"/>
      <c r="J66" s="442"/>
    </row>
    <row r="67" spans="1:10" ht="13.5" customHeight="1">
      <c r="A67" s="442"/>
      <c r="B67" s="442"/>
      <c r="C67" s="442"/>
      <c r="D67" s="442"/>
      <c r="E67" s="442"/>
      <c r="F67" s="442"/>
      <c r="G67" s="442"/>
      <c r="H67" s="442"/>
      <c r="I67" s="442"/>
      <c r="J67" s="442"/>
    </row>
    <row r="68" spans="1:10" ht="13.5" customHeight="1">
      <c r="A68" s="442"/>
      <c r="B68" s="442"/>
      <c r="C68" s="442"/>
      <c r="D68" s="442"/>
      <c r="E68" s="442"/>
      <c r="F68" s="442"/>
      <c r="G68" s="442"/>
      <c r="H68" s="442"/>
      <c r="I68" s="442"/>
      <c r="J68" s="442"/>
    </row>
    <row r="69" spans="1:10" ht="13.5" customHeight="1">
      <c r="A69" s="442"/>
      <c r="B69" s="442"/>
      <c r="C69" s="442"/>
      <c r="D69" s="442"/>
      <c r="E69" s="442"/>
      <c r="F69" s="442"/>
      <c r="G69" s="442"/>
      <c r="H69" s="442"/>
      <c r="I69" s="442"/>
      <c r="J69" s="442"/>
    </row>
    <row r="70" spans="1:10" ht="13.5" customHeight="1">
      <c r="A70" s="442"/>
      <c r="B70" s="442"/>
      <c r="C70" s="442"/>
      <c r="D70" s="442"/>
      <c r="E70" s="442"/>
      <c r="F70" s="442"/>
      <c r="G70" s="442"/>
      <c r="H70" s="442"/>
      <c r="I70" s="442"/>
      <c r="J70" s="442"/>
    </row>
    <row r="71" spans="1:10" ht="13.5" customHeight="1">
      <c r="A71" s="442"/>
      <c r="B71" s="442"/>
      <c r="C71" s="442"/>
      <c r="D71" s="442"/>
      <c r="E71" s="442"/>
      <c r="F71" s="442"/>
      <c r="G71" s="442"/>
      <c r="H71" s="442"/>
      <c r="I71" s="442"/>
      <c r="J71" s="442"/>
    </row>
    <row r="72" spans="1:10" ht="13.5" customHeight="1">
      <c r="A72" s="442"/>
      <c r="B72" s="442"/>
      <c r="C72" s="442"/>
      <c r="D72" s="442"/>
      <c r="E72" s="442"/>
      <c r="F72" s="442"/>
      <c r="G72" s="442"/>
      <c r="H72" s="442"/>
      <c r="I72" s="442"/>
      <c r="J72" s="442"/>
    </row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  <outlinePr summaryBelow="0" summaryRight="0"/>
  </sheetPr>
  <dimension ref="A1:Z1000"/>
  <sheetViews>
    <sheetView showGridLines="0" workbookViewId="0"/>
  </sheetViews>
  <sheetFormatPr defaultColWidth="14.42578125" defaultRowHeight="15" customHeight="1"/>
  <cols>
    <col min="1" max="1" width="41.42578125" customWidth="1"/>
    <col min="2" max="2" width="11.42578125" customWidth="1"/>
    <col min="3" max="3" width="14.42578125" customWidth="1"/>
    <col min="4" max="4" width="2.42578125" customWidth="1"/>
    <col min="5" max="5" width="13.28515625" customWidth="1"/>
    <col min="6" max="6" width="5" customWidth="1"/>
    <col min="7" max="26" width="17.28515625" customWidth="1"/>
  </cols>
  <sheetData>
    <row r="1" spans="1:26" ht="14.25" customHeight="1">
      <c r="A1" s="443" t="s">
        <v>198</v>
      </c>
      <c r="B1" s="1"/>
      <c r="C1" s="401"/>
      <c r="D1" s="401"/>
      <c r="E1" s="401"/>
      <c r="F1" s="1"/>
    </row>
    <row r="2" spans="1:26" ht="15.75" customHeight="1">
      <c r="A2" s="3"/>
      <c r="B2" s="4"/>
      <c r="C2" s="5"/>
      <c r="D2" s="5"/>
      <c r="E2" s="6"/>
      <c r="F2" s="2"/>
    </row>
    <row r="3" spans="1:26" ht="15.75" customHeight="1">
      <c r="A3" s="416"/>
      <c r="B3" s="444" t="s">
        <v>79</v>
      </c>
      <c r="C3" s="445" t="s">
        <v>199</v>
      </c>
      <c r="D3" s="446" t="s">
        <v>9</v>
      </c>
      <c r="E3" s="445" t="s">
        <v>200</v>
      </c>
      <c r="F3" s="414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5"/>
      <c r="U3" s="415"/>
      <c r="V3" s="415"/>
      <c r="W3" s="415"/>
      <c r="X3" s="415"/>
      <c r="Y3" s="415"/>
      <c r="Z3" s="415"/>
    </row>
    <row r="4" spans="1:26" ht="15.75" customHeight="1">
      <c r="A4" s="407" t="s">
        <v>21</v>
      </c>
      <c r="B4" s="408" t="s">
        <v>87</v>
      </c>
      <c r="C4" s="409" t="s">
        <v>199</v>
      </c>
      <c r="D4" s="425"/>
      <c r="E4" s="411"/>
      <c r="F4" s="414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5"/>
      <c r="U4" s="415"/>
      <c r="V4" s="415"/>
      <c r="W4" s="415"/>
      <c r="X4" s="415"/>
      <c r="Y4" s="415"/>
      <c r="Z4" s="415"/>
    </row>
    <row r="5" spans="1:26" ht="15.75" customHeight="1">
      <c r="A5" s="416" t="s">
        <v>177</v>
      </c>
      <c r="B5" s="417">
        <f>'Use Allocation'!B14</f>
        <v>0</v>
      </c>
      <c r="C5" s="447">
        <v>350</v>
      </c>
      <c r="D5" s="448"/>
      <c r="E5" s="449">
        <f t="shared" ref="E5:E9" si="0">ROUND(B5/C5,-1)</f>
        <v>0</v>
      </c>
      <c r="F5" s="414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5"/>
      <c r="U5" s="415"/>
      <c r="V5" s="415"/>
      <c r="W5" s="415"/>
      <c r="X5" s="415"/>
      <c r="Y5" s="415"/>
      <c r="Z5" s="415"/>
    </row>
    <row r="6" spans="1:26" ht="15.75" customHeight="1">
      <c r="A6" s="416" t="s">
        <v>178</v>
      </c>
      <c r="B6" s="417">
        <f>'Use Allocation'!B38</f>
        <v>16500</v>
      </c>
      <c r="C6" s="447">
        <v>350</v>
      </c>
      <c r="D6" s="448"/>
      <c r="E6" s="449">
        <f t="shared" si="0"/>
        <v>50</v>
      </c>
      <c r="F6" s="414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5"/>
      <c r="U6" s="415"/>
      <c r="V6" s="415"/>
      <c r="W6" s="415"/>
      <c r="X6" s="415"/>
      <c r="Y6" s="415"/>
      <c r="Z6" s="415"/>
    </row>
    <row r="7" spans="1:26" ht="15.75" customHeight="1">
      <c r="A7" s="416" t="s">
        <v>179</v>
      </c>
      <c r="B7" s="417">
        <f>'Use Allocation'!B20</f>
        <v>42000</v>
      </c>
      <c r="C7" s="447">
        <v>350</v>
      </c>
      <c r="D7" s="448"/>
      <c r="E7" s="449">
        <f t="shared" si="0"/>
        <v>120</v>
      </c>
      <c r="F7" s="414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5"/>
      <c r="U7" s="415"/>
      <c r="V7" s="415"/>
      <c r="W7" s="415"/>
      <c r="X7" s="415"/>
      <c r="Y7" s="415"/>
      <c r="Z7" s="415"/>
    </row>
    <row r="8" spans="1:26" ht="15.75" customHeight="1">
      <c r="A8" s="416" t="s">
        <v>180</v>
      </c>
      <c r="B8" s="417">
        <f>'Development by Block'!AC9+'Development by Block'!AC10</f>
        <v>180000</v>
      </c>
      <c r="C8" s="450">
        <v>350</v>
      </c>
      <c r="D8" s="417"/>
      <c r="E8" s="449">
        <f t="shared" si="0"/>
        <v>510</v>
      </c>
      <c r="F8" s="414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5"/>
      <c r="U8" s="415"/>
      <c r="V8" s="415"/>
      <c r="W8" s="415"/>
      <c r="X8" s="415"/>
      <c r="Y8" s="415"/>
      <c r="Z8" s="415"/>
    </row>
    <row r="9" spans="1:26" ht="15.75" customHeight="1">
      <c r="A9" s="416" t="s">
        <v>25</v>
      </c>
      <c r="B9" s="417">
        <f>'Development by Block'!AC11</f>
        <v>240000</v>
      </c>
      <c r="C9" s="450">
        <v>350</v>
      </c>
      <c r="D9" s="417"/>
      <c r="E9" s="449">
        <f t="shared" si="0"/>
        <v>690</v>
      </c>
      <c r="F9" s="414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5"/>
      <c r="U9" s="415"/>
      <c r="V9" s="415"/>
      <c r="W9" s="415"/>
      <c r="X9" s="415"/>
      <c r="Y9" s="415"/>
      <c r="Z9" s="415"/>
    </row>
    <row r="10" spans="1:26" ht="15.75" customHeight="1">
      <c r="A10" s="407" t="s">
        <v>26</v>
      </c>
      <c r="B10" s="408" t="s">
        <v>87</v>
      </c>
      <c r="C10" s="409" t="s">
        <v>199</v>
      </c>
      <c r="D10" s="425"/>
      <c r="E10" s="411"/>
      <c r="F10" s="414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5"/>
      <c r="U10" s="415"/>
      <c r="V10" s="415"/>
      <c r="W10" s="415"/>
      <c r="X10" s="415"/>
      <c r="Y10" s="415"/>
      <c r="Z10" s="415"/>
    </row>
    <row r="11" spans="1:26" ht="15.75" customHeight="1">
      <c r="A11" s="416" t="s">
        <v>181</v>
      </c>
      <c r="B11" s="417">
        <f>'Use Allocation'!C14</f>
        <v>0</v>
      </c>
      <c r="C11" s="450">
        <v>300</v>
      </c>
      <c r="D11" s="417"/>
      <c r="E11" s="449">
        <f t="shared" ref="E11:E16" si="1">ROUND(B11/C11,-1)</f>
        <v>0</v>
      </c>
      <c r="F11" s="414"/>
      <c r="G11" s="415"/>
      <c r="H11" s="415"/>
      <c r="I11" s="415"/>
      <c r="J11" s="415"/>
      <c r="K11" s="415"/>
      <c r="L11" s="415"/>
      <c r="M11" s="415"/>
      <c r="N11" s="415"/>
      <c r="O11" s="415"/>
      <c r="P11" s="415"/>
      <c r="Q11" s="415"/>
      <c r="R11" s="415"/>
      <c r="S11" s="415"/>
      <c r="T11" s="415"/>
      <c r="U11" s="415"/>
      <c r="V11" s="415"/>
      <c r="W11" s="415"/>
      <c r="X11" s="415"/>
      <c r="Y11" s="415"/>
      <c r="Z11" s="415"/>
    </row>
    <row r="12" spans="1:26" ht="15.75" customHeight="1">
      <c r="A12" s="416" t="s">
        <v>182</v>
      </c>
      <c r="B12" s="417">
        <f>'Use Allocation'!C24</f>
        <v>12000</v>
      </c>
      <c r="C12" s="447">
        <v>300</v>
      </c>
      <c r="D12" s="448"/>
      <c r="E12" s="449">
        <f t="shared" si="1"/>
        <v>40</v>
      </c>
      <c r="F12" s="414"/>
      <c r="G12" s="415"/>
      <c r="H12" s="415"/>
      <c r="I12" s="415"/>
      <c r="J12" s="415"/>
      <c r="K12" s="415"/>
      <c r="L12" s="415"/>
      <c r="M12" s="415"/>
      <c r="N12" s="415"/>
      <c r="O12" s="415"/>
      <c r="P12" s="415"/>
      <c r="Q12" s="415"/>
      <c r="R12" s="415"/>
      <c r="S12" s="415"/>
      <c r="T12" s="415"/>
      <c r="U12" s="415"/>
      <c r="V12" s="415"/>
      <c r="W12" s="415"/>
      <c r="X12" s="415"/>
      <c r="Y12" s="415"/>
      <c r="Z12" s="415"/>
    </row>
    <row r="13" spans="1:26" ht="15.75" customHeight="1">
      <c r="A13" s="416" t="s">
        <v>183</v>
      </c>
      <c r="B13" s="417">
        <f>'Use Allocation'!C17</f>
        <v>18000</v>
      </c>
      <c r="C13" s="447">
        <v>300</v>
      </c>
      <c r="D13" s="448"/>
      <c r="E13" s="449">
        <f t="shared" si="1"/>
        <v>60</v>
      </c>
      <c r="F13" s="414"/>
      <c r="G13" s="415"/>
      <c r="H13" s="415"/>
      <c r="I13" s="415"/>
      <c r="J13" s="415"/>
      <c r="K13" s="415"/>
      <c r="L13" s="415"/>
      <c r="M13" s="415"/>
      <c r="N13" s="415"/>
      <c r="O13" s="415"/>
      <c r="P13" s="415"/>
      <c r="Q13" s="415"/>
      <c r="R13" s="415"/>
      <c r="S13" s="415"/>
      <c r="T13" s="415"/>
      <c r="U13" s="415"/>
      <c r="V13" s="415"/>
      <c r="W13" s="415"/>
      <c r="X13" s="415"/>
      <c r="Y13" s="415"/>
      <c r="Z13" s="415"/>
    </row>
    <row r="14" spans="1:26" ht="15.75" customHeight="1">
      <c r="A14" s="416" t="s">
        <v>27</v>
      </c>
      <c r="B14" s="417">
        <f>'Development by Block'!AC13</f>
        <v>25000</v>
      </c>
      <c r="C14" s="450">
        <v>300</v>
      </c>
      <c r="D14" s="417"/>
      <c r="E14" s="449">
        <f t="shared" si="1"/>
        <v>80</v>
      </c>
      <c r="F14" s="414"/>
      <c r="G14" s="415"/>
      <c r="H14" s="415"/>
      <c r="I14" s="415"/>
      <c r="J14" s="415"/>
      <c r="K14" s="415"/>
      <c r="L14" s="415"/>
      <c r="M14" s="415"/>
      <c r="N14" s="415"/>
      <c r="O14" s="415"/>
      <c r="P14" s="415"/>
      <c r="Q14" s="415"/>
      <c r="R14" s="415"/>
      <c r="S14" s="415"/>
      <c r="T14" s="415"/>
      <c r="U14" s="415"/>
      <c r="V14" s="415"/>
      <c r="W14" s="415"/>
      <c r="X14" s="415"/>
      <c r="Y14" s="415"/>
      <c r="Z14" s="415"/>
    </row>
    <row r="15" spans="1:26" ht="15.75" customHeight="1">
      <c r="A15" s="416" t="s">
        <v>201</v>
      </c>
      <c r="B15" s="417">
        <f>'Development by Block'!AC14</f>
        <v>40000</v>
      </c>
      <c r="C15" s="450">
        <v>200</v>
      </c>
      <c r="D15" s="417"/>
      <c r="E15" s="449">
        <f t="shared" si="1"/>
        <v>200</v>
      </c>
      <c r="F15" s="414"/>
      <c r="G15" s="415"/>
      <c r="H15" s="415"/>
      <c r="I15" s="415"/>
      <c r="J15" s="415"/>
      <c r="K15" s="415"/>
      <c r="L15" s="415"/>
      <c r="M15" s="415"/>
      <c r="N15" s="415"/>
      <c r="O15" s="415"/>
      <c r="P15" s="415"/>
      <c r="Q15" s="415"/>
      <c r="R15" s="415"/>
      <c r="S15" s="415"/>
      <c r="T15" s="415"/>
      <c r="U15" s="415"/>
      <c r="V15" s="415"/>
      <c r="W15" s="415"/>
      <c r="X15" s="415"/>
      <c r="Y15" s="415"/>
      <c r="Z15" s="415"/>
    </row>
    <row r="16" spans="1:26" ht="15.75" customHeight="1">
      <c r="A16" s="416" t="s">
        <v>96</v>
      </c>
      <c r="B16" s="417">
        <f>'Development by Block'!AC15</f>
        <v>0</v>
      </c>
      <c r="C16" s="450">
        <v>200</v>
      </c>
      <c r="D16" s="417"/>
      <c r="E16" s="449">
        <f t="shared" si="1"/>
        <v>0</v>
      </c>
      <c r="F16" s="414"/>
      <c r="G16" s="415"/>
      <c r="H16" s="415"/>
      <c r="I16" s="415"/>
      <c r="J16" s="415"/>
      <c r="K16" s="415"/>
      <c r="L16" s="415"/>
      <c r="M16" s="415"/>
      <c r="N16" s="415"/>
      <c r="O16" s="415"/>
      <c r="P16" s="415"/>
      <c r="Q16" s="415"/>
      <c r="R16" s="415"/>
      <c r="S16" s="415"/>
      <c r="T16" s="415"/>
      <c r="U16" s="415"/>
      <c r="V16" s="415"/>
      <c r="W16" s="415"/>
      <c r="X16" s="415"/>
      <c r="Y16" s="415"/>
      <c r="Z16" s="415"/>
    </row>
    <row r="17" spans="1:26" ht="15.75" customHeight="1">
      <c r="A17" s="407" t="s">
        <v>184</v>
      </c>
      <c r="B17" s="408" t="s">
        <v>87</v>
      </c>
      <c r="C17" s="409" t="s">
        <v>199</v>
      </c>
      <c r="D17" s="425"/>
      <c r="E17" s="411"/>
      <c r="F17" s="414"/>
      <c r="G17" s="415"/>
      <c r="H17" s="415"/>
      <c r="I17" s="415"/>
      <c r="J17" s="415"/>
      <c r="K17" s="415"/>
      <c r="L17" s="415"/>
      <c r="M17" s="415"/>
      <c r="N17" s="415"/>
      <c r="O17" s="415"/>
      <c r="P17" s="415"/>
      <c r="Q17" s="415"/>
      <c r="R17" s="415"/>
      <c r="S17" s="415"/>
      <c r="T17" s="415"/>
      <c r="U17" s="415"/>
      <c r="V17" s="415"/>
      <c r="W17" s="415"/>
      <c r="X17" s="415"/>
      <c r="Y17" s="415"/>
      <c r="Z17" s="415"/>
    </row>
    <row r="18" spans="1:26" ht="15.75" customHeight="1">
      <c r="A18" s="416" t="s">
        <v>202</v>
      </c>
      <c r="B18" s="417">
        <f>SUM('Use Allocation'!D25:D37)</f>
        <v>19500</v>
      </c>
      <c r="C18" s="447">
        <v>700</v>
      </c>
      <c r="D18" s="448"/>
      <c r="E18" s="449">
        <f t="shared" ref="E18:E20" si="2">ROUND(B18/C18,0)</f>
        <v>28</v>
      </c>
      <c r="F18" s="414"/>
      <c r="G18" s="415"/>
      <c r="H18" s="415"/>
      <c r="I18" s="415"/>
      <c r="J18" s="415"/>
      <c r="K18" s="415"/>
      <c r="L18" s="415"/>
      <c r="M18" s="415"/>
      <c r="N18" s="415"/>
      <c r="O18" s="415"/>
      <c r="P18" s="415"/>
      <c r="Q18" s="415"/>
      <c r="R18" s="415"/>
      <c r="S18" s="415"/>
      <c r="T18" s="415"/>
      <c r="U18" s="415"/>
      <c r="V18" s="415"/>
      <c r="W18" s="415"/>
      <c r="X18" s="415"/>
      <c r="Y18" s="415"/>
      <c r="Z18" s="415"/>
    </row>
    <row r="19" spans="1:26" ht="15.75" customHeight="1">
      <c r="A19" s="416" t="s">
        <v>203</v>
      </c>
      <c r="B19" s="417">
        <f>SUM('Use Allocation'!D18:D19)</f>
        <v>0</v>
      </c>
      <c r="C19" s="447">
        <v>700</v>
      </c>
      <c r="D19" s="448"/>
      <c r="E19" s="449">
        <f t="shared" si="2"/>
        <v>0</v>
      </c>
      <c r="F19" s="414"/>
      <c r="G19" s="415"/>
      <c r="H19" s="415"/>
      <c r="I19" s="415"/>
      <c r="J19" s="415"/>
      <c r="K19" s="415"/>
      <c r="L19" s="415"/>
      <c r="M19" s="415"/>
      <c r="N19" s="415"/>
      <c r="O19" s="415"/>
      <c r="P19" s="415"/>
      <c r="Q19" s="415"/>
      <c r="R19" s="415"/>
      <c r="S19" s="415"/>
      <c r="T19" s="415"/>
      <c r="U19" s="415"/>
      <c r="V19" s="415"/>
      <c r="W19" s="415"/>
      <c r="X19" s="415"/>
      <c r="Y19" s="415"/>
      <c r="Z19" s="415"/>
    </row>
    <row r="20" spans="1:26" ht="15.75" customHeight="1">
      <c r="A20" s="416" t="s">
        <v>204</v>
      </c>
      <c r="B20" s="417">
        <f>('Development by Block'!AC7*500)+'Use Allocation'!D14</f>
        <v>120000</v>
      </c>
      <c r="C20" s="447">
        <v>5000</v>
      </c>
      <c r="D20" s="448"/>
      <c r="E20" s="449">
        <f t="shared" si="2"/>
        <v>24</v>
      </c>
      <c r="F20" s="414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415"/>
      <c r="Z20" s="415"/>
    </row>
    <row r="21" spans="1:26" ht="15.75" customHeight="1">
      <c r="A21" s="451" t="s">
        <v>200</v>
      </c>
      <c r="B21" s="452"/>
      <c r="C21" s="453"/>
      <c r="D21" s="454"/>
      <c r="E21" s="455">
        <f>SUM(E5:E20)</f>
        <v>1802</v>
      </c>
      <c r="F21" s="414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415"/>
      <c r="Z21" s="415"/>
    </row>
    <row r="22" spans="1:26" ht="15.75" customHeight="1">
      <c r="A22" s="107"/>
      <c r="B22" s="2"/>
      <c r="C22" s="440"/>
      <c r="D22" s="440"/>
      <c r="E22" s="440"/>
      <c r="F22" s="2"/>
    </row>
    <row r="23" spans="1:26" ht="15.75" hidden="1" customHeight="1">
      <c r="A23" s="107"/>
      <c r="B23" s="2"/>
      <c r="C23" s="440"/>
      <c r="D23" s="440"/>
      <c r="E23" s="440"/>
      <c r="F23" s="2"/>
    </row>
    <row r="24" spans="1:26" ht="15.75" hidden="1" customHeight="1">
      <c r="A24" s="107"/>
      <c r="B24" s="2"/>
      <c r="C24" s="440"/>
      <c r="D24" s="440"/>
      <c r="E24" s="440"/>
      <c r="F24" s="2"/>
    </row>
    <row r="25" spans="1:26" ht="15.75" hidden="1" customHeight="1">
      <c r="A25" s="107"/>
      <c r="B25" s="2"/>
      <c r="C25" s="440"/>
      <c r="D25" s="440"/>
      <c r="E25" s="440"/>
      <c r="F25" s="2"/>
    </row>
    <row r="26" spans="1:26" ht="15.75" hidden="1" customHeight="1">
      <c r="A26" s="107"/>
      <c r="B26" s="2"/>
      <c r="C26" s="440"/>
      <c r="D26" s="440"/>
      <c r="E26" s="440"/>
      <c r="F26" s="2"/>
    </row>
    <row r="27" spans="1:26" ht="12" hidden="1" customHeight="1">
      <c r="A27" s="107"/>
      <c r="B27" s="2"/>
      <c r="C27" s="440"/>
      <c r="D27" s="440"/>
      <c r="E27" s="440"/>
      <c r="F27" s="2"/>
    </row>
    <row r="28" spans="1:26" ht="12" hidden="1" customHeight="1">
      <c r="A28" s="107"/>
      <c r="B28" s="2"/>
      <c r="C28" s="440"/>
      <c r="D28" s="440"/>
      <c r="E28" s="440"/>
      <c r="F28" s="2"/>
    </row>
    <row r="29" spans="1:26" ht="12" hidden="1" customHeight="1">
      <c r="A29" s="107"/>
      <c r="B29" s="2"/>
      <c r="C29" s="440"/>
      <c r="D29" s="440"/>
      <c r="E29" s="440"/>
      <c r="F29" s="2"/>
    </row>
    <row r="30" spans="1:26" ht="12" hidden="1" customHeight="1">
      <c r="A30" s="107"/>
      <c r="B30" s="2"/>
      <c r="C30" s="440"/>
      <c r="D30" s="440"/>
      <c r="E30" s="440"/>
      <c r="F30" s="2"/>
    </row>
    <row r="31" spans="1:26" ht="12" hidden="1" customHeight="1">
      <c r="A31" s="107"/>
      <c r="B31" s="2"/>
      <c r="C31" s="440"/>
      <c r="D31" s="440"/>
      <c r="E31" s="440"/>
      <c r="F31" s="2"/>
    </row>
    <row r="32" spans="1:26" ht="12" hidden="1" customHeight="1">
      <c r="A32" s="107"/>
      <c r="B32" s="2"/>
      <c r="C32" s="440"/>
      <c r="D32" s="440"/>
      <c r="E32" s="440"/>
      <c r="F32" s="2"/>
    </row>
    <row r="33" spans="1:6" ht="12" hidden="1" customHeight="1">
      <c r="A33" s="107"/>
      <c r="B33" s="2"/>
      <c r="C33" s="440"/>
      <c r="D33" s="440"/>
      <c r="E33" s="440"/>
      <c r="F33" s="2"/>
    </row>
    <row r="34" spans="1:6" ht="12" hidden="1" customHeight="1">
      <c r="A34" s="107"/>
      <c r="B34" s="2"/>
      <c r="C34" s="440"/>
      <c r="D34" s="440"/>
      <c r="E34" s="440"/>
      <c r="F34" s="2"/>
    </row>
    <row r="35" spans="1:6" ht="12" hidden="1" customHeight="1">
      <c r="A35" s="107"/>
      <c r="B35" s="2"/>
      <c r="C35" s="440"/>
      <c r="D35" s="440"/>
      <c r="E35" s="440"/>
      <c r="F35" s="2"/>
    </row>
    <row r="36" spans="1:6" ht="12" hidden="1" customHeight="1">
      <c r="A36" s="107"/>
      <c r="B36" s="2"/>
      <c r="C36" s="440"/>
      <c r="D36" s="440"/>
      <c r="E36" s="440"/>
      <c r="F36" s="2"/>
    </row>
    <row r="37" spans="1:6" ht="12" hidden="1" customHeight="1">
      <c r="A37" s="107"/>
      <c r="B37" s="2"/>
      <c r="C37" s="440"/>
      <c r="D37" s="440"/>
      <c r="E37" s="440"/>
      <c r="F37" s="2"/>
    </row>
    <row r="38" spans="1:6" ht="12" hidden="1" customHeight="1">
      <c r="A38" s="107"/>
      <c r="B38" s="2"/>
      <c r="C38" s="440"/>
      <c r="D38" s="440"/>
      <c r="E38" s="440"/>
      <c r="F38" s="2"/>
    </row>
    <row r="39" spans="1:6" ht="12" hidden="1" customHeight="1">
      <c r="A39" s="107"/>
      <c r="B39" s="2"/>
      <c r="C39" s="440"/>
      <c r="D39" s="440"/>
      <c r="E39" s="440"/>
      <c r="F39" s="2"/>
    </row>
    <row r="40" spans="1:6" ht="12" hidden="1" customHeight="1">
      <c r="A40" s="107"/>
      <c r="B40" s="2"/>
      <c r="C40" s="440"/>
      <c r="D40" s="440"/>
      <c r="E40" s="440"/>
      <c r="F40" s="2"/>
    </row>
    <row r="41" spans="1:6" ht="12" hidden="1" customHeight="1">
      <c r="A41" s="107"/>
      <c r="B41" s="2"/>
      <c r="C41" s="440"/>
      <c r="D41" s="440"/>
      <c r="E41" s="440"/>
      <c r="F41" s="2"/>
    </row>
    <row r="42" spans="1:6" ht="12" hidden="1" customHeight="1">
      <c r="A42" s="107"/>
      <c r="B42" s="2"/>
      <c r="C42" s="440"/>
      <c r="D42" s="440"/>
      <c r="E42" s="440"/>
      <c r="F42" s="2"/>
    </row>
    <row r="43" spans="1:6" ht="12" hidden="1" customHeight="1">
      <c r="A43" s="107"/>
      <c r="B43" s="2"/>
      <c r="C43" s="440"/>
      <c r="D43" s="440"/>
      <c r="E43" s="440"/>
      <c r="F43" s="2"/>
    </row>
    <row r="44" spans="1:6" ht="12" hidden="1" customHeight="1">
      <c r="A44" s="107"/>
      <c r="B44" s="2"/>
      <c r="C44" s="440"/>
      <c r="D44" s="440"/>
      <c r="E44" s="440"/>
      <c r="F44" s="2"/>
    </row>
    <row r="45" spans="1:6" ht="12" hidden="1" customHeight="1">
      <c r="A45" s="107"/>
      <c r="B45" s="2"/>
      <c r="C45" s="440"/>
      <c r="D45" s="440"/>
      <c r="E45" s="440"/>
      <c r="F45" s="2"/>
    </row>
    <row r="46" spans="1:6" ht="12" hidden="1" customHeight="1">
      <c r="A46" s="107"/>
      <c r="B46" s="2"/>
      <c r="C46" s="440"/>
      <c r="D46" s="440"/>
      <c r="E46" s="440"/>
      <c r="F46" s="2"/>
    </row>
    <row r="47" spans="1:6" ht="12" hidden="1" customHeight="1">
      <c r="A47" s="107"/>
      <c r="B47" s="2"/>
      <c r="C47" s="440"/>
      <c r="D47" s="440"/>
      <c r="E47" s="440"/>
      <c r="F47" s="2"/>
    </row>
    <row r="48" spans="1:6" ht="13.5" hidden="1" customHeight="1">
      <c r="A48" s="442"/>
      <c r="B48" s="442"/>
      <c r="C48" s="442"/>
      <c r="D48" s="442"/>
      <c r="E48" s="442"/>
      <c r="F48" s="442"/>
    </row>
    <row r="49" spans="1:6" ht="13.5" hidden="1" customHeight="1">
      <c r="A49" s="442"/>
      <c r="B49" s="442"/>
      <c r="C49" s="442"/>
      <c r="D49" s="442"/>
      <c r="E49" s="442"/>
      <c r="F49" s="442"/>
    </row>
    <row r="50" spans="1:6" ht="13.5" hidden="1" customHeight="1">
      <c r="A50" s="442"/>
      <c r="B50" s="442"/>
      <c r="C50" s="442"/>
      <c r="D50" s="442"/>
      <c r="E50" s="442"/>
      <c r="F50" s="442"/>
    </row>
    <row r="51" spans="1:6" ht="13.5" hidden="1" customHeight="1">
      <c r="A51" s="442"/>
      <c r="B51" s="442"/>
      <c r="C51" s="442"/>
      <c r="D51" s="442"/>
      <c r="E51" s="442"/>
      <c r="F51" s="442"/>
    </row>
    <row r="52" spans="1:6" ht="13.5" hidden="1" customHeight="1">
      <c r="A52" s="442"/>
      <c r="B52" s="442"/>
      <c r="C52" s="442"/>
      <c r="D52" s="442"/>
      <c r="E52" s="442"/>
      <c r="F52" s="442"/>
    </row>
    <row r="53" spans="1:6" ht="13.5" hidden="1" customHeight="1">
      <c r="A53" s="442"/>
      <c r="B53" s="442"/>
      <c r="C53" s="442"/>
      <c r="D53" s="442"/>
      <c r="E53" s="442"/>
      <c r="F53" s="442"/>
    </row>
    <row r="54" spans="1:6" ht="13.5" hidden="1" customHeight="1">
      <c r="A54" s="442"/>
      <c r="B54" s="442"/>
      <c r="C54" s="442"/>
      <c r="D54" s="442"/>
      <c r="E54" s="442"/>
      <c r="F54" s="442"/>
    </row>
    <row r="55" spans="1:6" ht="13.5" hidden="1" customHeight="1">
      <c r="A55" s="442"/>
      <c r="B55" s="442"/>
      <c r="C55" s="442"/>
      <c r="D55" s="442"/>
      <c r="E55" s="442"/>
      <c r="F55" s="442"/>
    </row>
    <row r="56" spans="1:6" ht="13.5" hidden="1" customHeight="1">
      <c r="A56" s="442"/>
      <c r="B56" s="442"/>
      <c r="C56" s="442"/>
      <c r="D56" s="442"/>
      <c r="E56" s="442"/>
      <c r="F56" s="442"/>
    </row>
    <row r="57" spans="1:6" ht="13.5" hidden="1" customHeight="1">
      <c r="A57" s="442"/>
      <c r="B57" s="442"/>
      <c r="C57" s="442"/>
      <c r="D57" s="442"/>
      <c r="E57" s="442"/>
      <c r="F57" s="442"/>
    </row>
    <row r="58" spans="1:6" ht="13.5" hidden="1" customHeight="1">
      <c r="A58" s="442"/>
      <c r="B58" s="442"/>
      <c r="C58" s="442"/>
      <c r="D58" s="442"/>
      <c r="E58" s="442"/>
      <c r="F58" s="442"/>
    </row>
    <row r="59" spans="1:6" ht="13.5" hidden="1" customHeight="1">
      <c r="A59" s="442"/>
      <c r="B59" s="442"/>
      <c r="C59" s="442"/>
      <c r="D59" s="442"/>
      <c r="E59" s="442"/>
      <c r="F59" s="442"/>
    </row>
    <row r="60" spans="1:6" ht="13.5" customHeight="1">
      <c r="A60" s="442"/>
      <c r="B60" s="442"/>
      <c r="C60" s="442"/>
      <c r="D60" s="442"/>
      <c r="E60" s="442"/>
      <c r="F60" s="442"/>
    </row>
    <row r="61" spans="1:6" ht="15.75" customHeight="1"/>
    <row r="62" spans="1:6" ht="15.75" customHeight="1"/>
    <row r="63" spans="1:6" ht="15.75" customHeight="1"/>
    <row r="64" spans="1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  <outlinePr summaryBelow="0" summaryRight="0"/>
  </sheetPr>
  <dimension ref="A1:Z1000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43.85546875" customWidth="1"/>
    <col min="2" max="2" width="12.42578125" customWidth="1"/>
    <col min="3" max="3" width="3.28515625" customWidth="1"/>
    <col min="4" max="4" width="17.42578125" customWidth="1"/>
    <col min="5" max="5" width="2.140625" customWidth="1"/>
    <col min="6" max="6" width="15" customWidth="1"/>
    <col min="7" max="7" width="2.28515625" customWidth="1"/>
    <col min="8" max="8" width="4.7109375" hidden="1" customWidth="1"/>
    <col min="9" max="9" width="34" hidden="1" customWidth="1"/>
    <col min="10" max="10" width="29" hidden="1" customWidth="1"/>
    <col min="11" max="11" width="17" hidden="1" customWidth="1"/>
    <col min="12" max="12" width="7.28515625" hidden="1" customWidth="1"/>
    <col min="13" max="26" width="17.28515625" customWidth="1"/>
  </cols>
  <sheetData>
    <row r="1" spans="1:26" ht="15.75" customHeight="1">
      <c r="A1" s="456" t="s">
        <v>205</v>
      </c>
      <c r="B1" s="457"/>
      <c r="C1" s="457"/>
      <c r="D1" s="458"/>
      <c r="E1" s="458"/>
      <c r="F1" s="459"/>
      <c r="G1" s="457"/>
      <c r="H1" s="433"/>
      <c r="I1" s="457"/>
      <c r="J1" s="457"/>
      <c r="K1" s="457"/>
      <c r="L1" s="457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5"/>
      <c r="Y1" s="415"/>
      <c r="Z1" s="415"/>
    </row>
    <row r="2" spans="1:26" ht="15.75" customHeight="1">
      <c r="A2" s="460"/>
      <c r="B2" s="461"/>
      <c r="C2" s="461"/>
      <c r="D2" s="462"/>
      <c r="E2" s="462"/>
      <c r="F2" s="463"/>
      <c r="G2" s="414"/>
      <c r="H2" s="704" t="s">
        <v>206</v>
      </c>
      <c r="I2" s="705"/>
      <c r="J2" s="705"/>
      <c r="K2" s="705"/>
      <c r="L2" s="706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5"/>
      <c r="Y2" s="415"/>
      <c r="Z2" s="415"/>
    </row>
    <row r="3" spans="1:26" ht="15.75" customHeight="1">
      <c r="A3" s="416"/>
      <c r="B3" s="464" t="s">
        <v>79</v>
      </c>
      <c r="C3" s="465" t="s">
        <v>207</v>
      </c>
      <c r="D3" s="466" t="s">
        <v>208</v>
      </c>
      <c r="E3" s="465" t="s">
        <v>9</v>
      </c>
      <c r="F3" s="466" t="s">
        <v>209</v>
      </c>
      <c r="G3" s="414"/>
      <c r="H3" s="467" t="s">
        <v>210</v>
      </c>
      <c r="I3" s="468"/>
      <c r="J3" s="468" t="s">
        <v>211</v>
      </c>
      <c r="K3" s="468" t="s">
        <v>212</v>
      </c>
      <c r="L3" s="469" t="s">
        <v>213</v>
      </c>
      <c r="M3" s="415"/>
      <c r="N3" s="415"/>
      <c r="O3" s="415"/>
      <c r="P3" s="415"/>
      <c r="Q3" s="415"/>
      <c r="R3" s="415"/>
      <c r="S3" s="415"/>
      <c r="T3" s="415"/>
      <c r="U3" s="415"/>
      <c r="V3" s="415"/>
      <c r="W3" s="415"/>
      <c r="X3" s="415"/>
      <c r="Y3" s="415"/>
      <c r="Z3" s="415"/>
    </row>
    <row r="4" spans="1:26" ht="15.75" customHeight="1">
      <c r="A4" s="407" t="s">
        <v>16</v>
      </c>
      <c r="B4" s="470" t="s">
        <v>79</v>
      </c>
      <c r="C4" s="471"/>
      <c r="D4" s="472"/>
      <c r="E4" s="472"/>
      <c r="F4" s="473"/>
      <c r="G4" s="414"/>
      <c r="H4" s="474" t="s">
        <v>16</v>
      </c>
      <c r="I4" s="475"/>
      <c r="J4" s="475"/>
      <c r="K4" s="475"/>
      <c r="L4" s="476"/>
      <c r="M4" s="415"/>
      <c r="N4" s="415"/>
      <c r="O4" s="415"/>
      <c r="P4" s="415"/>
      <c r="Q4" s="415"/>
      <c r="R4" s="415"/>
      <c r="S4" s="415"/>
      <c r="T4" s="415"/>
      <c r="U4" s="415"/>
      <c r="V4" s="415"/>
      <c r="W4" s="415"/>
      <c r="X4" s="415"/>
      <c r="Y4" s="415"/>
      <c r="Z4" s="415"/>
    </row>
    <row r="5" spans="1:26" ht="15.75" customHeight="1">
      <c r="A5" s="416" t="s">
        <v>170</v>
      </c>
      <c r="B5" s="417">
        <f>Costs!B5</f>
        <v>0</v>
      </c>
      <c r="C5" s="450"/>
      <c r="D5" s="450">
        <v>150</v>
      </c>
      <c r="E5" s="477"/>
      <c r="F5" s="478">
        <f t="shared" ref="F5:F9" si="0">B5/D5</f>
        <v>0</v>
      </c>
      <c r="G5" s="414"/>
      <c r="H5" s="479">
        <f t="shared" ref="H5:H9" si="1">IF(F5&gt;3,1,0)</f>
        <v>0</v>
      </c>
      <c r="I5" s="480">
        <f t="shared" ref="I5:I9" si="2">F5-3</f>
        <v>-3</v>
      </c>
      <c r="J5" s="480">
        <f t="shared" ref="J5:J9" si="3">IF(I5&gt;0, I5,0)</f>
        <v>0</v>
      </c>
      <c r="K5" s="480">
        <f t="shared" ref="K5:K9" si="4">J5*$L5</f>
        <v>0</v>
      </c>
      <c r="L5" s="481">
        <v>1</v>
      </c>
      <c r="M5" s="415"/>
      <c r="N5" s="415"/>
      <c r="O5" s="415"/>
      <c r="P5" s="415"/>
      <c r="Q5" s="415"/>
      <c r="R5" s="415"/>
      <c r="S5" s="415"/>
      <c r="T5" s="415"/>
      <c r="U5" s="415"/>
      <c r="V5" s="415"/>
      <c r="W5" s="415"/>
      <c r="X5" s="415"/>
      <c r="Y5" s="415"/>
      <c r="Z5" s="415"/>
    </row>
    <row r="6" spans="1:26" ht="15.75" customHeight="1">
      <c r="A6" s="416" t="s">
        <v>171</v>
      </c>
      <c r="B6" s="417">
        <f>Costs!B6</f>
        <v>220</v>
      </c>
      <c r="C6" s="450"/>
      <c r="D6" s="450">
        <v>75</v>
      </c>
      <c r="E6" s="477"/>
      <c r="F6" s="478">
        <f t="shared" si="0"/>
        <v>2.9333333333333331</v>
      </c>
      <c r="G6" s="414"/>
      <c r="H6" s="482">
        <f t="shared" si="1"/>
        <v>0</v>
      </c>
      <c r="I6" s="483">
        <f t="shared" si="2"/>
        <v>-6.6666666666666874E-2</v>
      </c>
      <c r="J6" s="483">
        <f t="shared" si="3"/>
        <v>0</v>
      </c>
      <c r="K6" s="483">
        <f t="shared" si="4"/>
        <v>0</v>
      </c>
      <c r="L6" s="484">
        <v>1</v>
      </c>
      <c r="M6" s="415"/>
      <c r="N6" s="415"/>
      <c r="O6" s="415"/>
      <c r="P6" s="415"/>
      <c r="Q6" s="415"/>
      <c r="R6" s="415"/>
      <c r="S6" s="415"/>
      <c r="T6" s="415"/>
      <c r="U6" s="415"/>
      <c r="V6" s="415"/>
      <c r="W6" s="415"/>
      <c r="X6" s="415"/>
      <c r="Y6" s="415"/>
      <c r="Z6" s="415"/>
    </row>
    <row r="7" spans="1:26" ht="15.75" customHeight="1">
      <c r="A7" s="416" t="s">
        <v>172</v>
      </c>
      <c r="B7" s="417">
        <f>Costs!B7</f>
        <v>0</v>
      </c>
      <c r="C7" s="450"/>
      <c r="D7" s="450">
        <v>100</v>
      </c>
      <c r="E7" s="477"/>
      <c r="F7" s="478">
        <f t="shared" si="0"/>
        <v>0</v>
      </c>
      <c r="G7" s="414"/>
      <c r="H7" s="482">
        <f t="shared" si="1"/>
        <v>0</v>
      </c>
      <c r="I7" s="483">
        <f t="shared" si="2"/>
        <v>-3</v>
      </c>
      <c r="J7" s="483">
        <f t="shared" si="3"/>
        <v>0</v>
      </c>
      <c r="K7" s="483">
        <f t="shared" si="4"/>
        <v>0</v>
      </c>
      <c r="L7" s="484">
        <v>1</v>
      </c>
      <c r="M7" s="415"/>
      <c r="N7" s="415"/>
      <c r="O7" s="415"/>
      <c r="P7" s="415"/>
      <c r="Q7" s="415"/>
      <c r="R7" s="415"/>
      <c r="S7" s="415"/>
      <c r="T7" s="415"/>
      <c r="U7" s="415"/>
      <c r="V7" s="415"/>
      <c r="W7" s="415"/>
      <c r="X7" s="415"/>
      <c r="Y7" s="415"/>
      <c r="Z7" s="415"/>
    </row>
    <row r="8" spans="1:26" ht="15.75" customHeight="1">
      <c r="A8" s="416" t="s">
        <v>173</v>
      </c>
      <c r="B8" s="417">
        <f>Costs!B8</f>
        <v>0</v>
      </c>
      <c r="C8" s="450"/>
      <c r="D8" s="450">
        <v>17</v>
      </c>
      <c r="E8" s="477"/>
      <c r="F8" s="478">
        <f t="shared" si="0"/>
        <v>0</v>
      </c>
      <c r="G8" s="414"/>
      <c r="H8" s="482">
        <f t="shared" si="1"/>
        <v>0</v>
      </c>
      <c r="I8" s="483">
        <f t="shared" si="2"/>
        <v>-3</v>
      </c>
      <c r="J8" s="483">
        <f t="shared" si="3"/>
        <v>0</v>
      </c>
      <c r="K8" s="483">
        <f t="shared" si="4"/>
        <v>0</v>
      </c>
      <c r="L8" s="484">
        <v>1</v>
      </c>
      <c r="M8" s="415"/>
      <c r="N8" s="415"/>
      <c r="O8" s="415"/>
      <c r="P8" s="415"/>
      <c r="Q8" s="415"/>
      <c r="R8" s="415"/>
      <c r="S8" s="415"/>
      <c r="T8" s="415"/>
      <c r="U8" s="415"/>
      <c r="V8" s="415"/>
      <c r="W8" s="415"/>
      <c r="X8" s="415"/>
      <c r="Y8" s="415"/>
      <c r="Z8" s="415"/>
    </row>
    <row r="9" spans="1:26" ht="15.75" customHeight="1">
      <c r="A9" s="416" t="s">
        <v>19</v>
      </c>
      <c r="B9" s="417">
        <f>Costs!B9</f>
        <v>48</v>
      </c>
      <c r="C9" s="450"/>
      <c r="D9" s="450">
        <v>30.25</v>
      </c>
      <c r="E9" s="477"/>
      <c r="F9" s="478">
        <f t="shared" si="0"/>
        <v>1.5867768595041323</v>
      </c>
      <c r="G9" s="414"/>
      <c r="H9" s="482">
        <f t="shared" si="1"/>
        <v>0</v>
      </c>
      <c r="I9" s="483">
        <f t="shared" si="2"/>
        <v>-1.4132231404958677</v>
      </c>
      <c r="J9" s="483">
        <f t="shared" si="3"/>
        <v>0</v>
      </c>
      <c r="K9" s="483">
        <f t="shared" si="4"/>
        <v>0</v>
      </c>
      <c r="L9" s="484">
        <v>2</v>
      </c>
      <c r="M9" s="415"/>
      <c r="N9" s="415"/>
      <c r="O9" s="415"/>
      <c r="P9" s="415"/>
      <c r="Q9" s="415"/>
      <c r="R9" s="415"/>
      <c r="S9" s="415"/>
      <c r="T9" s="415"/>
      <c r="U9" s="415"/>
      <c r="V9" s="415"/>
      <c r="W9" s="415"/>
      <c r="X9" s="415"/>
      <c r="Y9" s="415"/>
      <c r="Z9" s="415"/>
    </row>
    <row r="10" spans="1:26" ht="15.75" customHeight="1">
      <c r="A10" s="416" t="s">
        <v>174</v>
      </c>
      <c r="B10" s="417">
        <f>'Use Allocation'!D14/500</f>
        <v>120</v>
      </c>
      <c r="C10" s="450"/>
      <c r="D10" s="449" t="s">
        <v>214</v>
      </c>
      <c r="E10" s="477"/>
      <c r="F10" s="478" t="s">
        <v>214</v>
      </c>
      <c r="G10" s="414"/>
      <c r="H10" s="482"/>
      <c r="I10" s="483"/>
      <c r="J10" s="483"/>
      <c r="K10" s="483"/>
      <c r="L10" s="484"/>
      <c r="M10" s="415"/>
      <c r="N10" s="415"/>
      <c r="O10" s="415"/>
      <c r="P10" s="415"/>
      <c r="Q10" s="415"/>
      <c r="R10" s="415"/>
      <c r="S10" s="415"/>
      <c r="T10" s="415"/>
      <c r="U10" s="415"/>
      <c r="V10" s="415"/>
      <c r="W10" s="415"/>
      <c r="X10" s="415"/>
      <c r="Y10" s="415"/>
      <c r="Z10" s="415"/>
    </row>
    <row r="11" spans="1:26" ht="15.75" customHeight="1">
      <c r="A11" s="416" t="s">
        <v>175</v>
      </c>
      <c r="B11" s="417">
        <f>'Development by Block'!AC7</f>
        <v>120</v>
      </c>
      <c r="C11" s="450"/>
      <c r="D11" s="450" t="s">
        <v>214</v>
      </c>
      <c r="E11" s="477"/>
      <c r="F11" s="478" t="s">
        <v>214</v>
      </c>
      <c r="G11" s="414"/>
      <c r="H11" s="485"/>
      <c r="I11" s="486"/>
      <c r="J11" s="486"/>
      <c r="K11" s="486"/>
      <c r="L11" s="487"/>
      <c r="M11" s="415"/>
      <c r="N11" s="415"/>
      <c r="O11" s="415"/>
      <c r="P11" s="415"/>
      <c r="Q11" s="415"/>
      <c r="R11" s="415"/>
      <c r="S11" s="415"/>
      <c r="T11" s="415"/>
      <c r="U11" s="415"/>
      <c r="V11" s="415"/>
      <c r="W11" s="415"/>
      <c r="X11" s="415"/>
      <c r="Y11" s="415"/>
      <c r="Z11" s="415"/>
    </row>
    <row r="12" spans="1:26" ht="15.75" customHeight="1">
      <c r="A12" s="407" t="s">
        <v>21</v>
      </c>
      <c r="B12" s="470" t="str">
        <f>'Development by Block'!AC8</f>
        <v>Total SF</v>
      </c>
      <c r="C12" s="471"/>
      <c r="D12" s="472"/>
      <c r="E12" s="472"/>
      <c r="F12" s="473"/>
      <c r="G12" s="414"/>
      <c r="H12" s="488" t="s">
        <v>21</v>
      </c>
      <c r="I12" s="489"/>
      <c r="J12" s="489"/>
      <c r="K12" s="489"/>
      <c r="L12" s="490"/>
      <c r="M12" s="415"/>
      <c r="N12" s="415"/>
      <c r="O12" s="415"/>
      <c r="P12" s="415"/>
      <c r="Q12" s="415"/>
      <c r="R12" s="415"/>
      <c r="S12" s="415"/>
      <c r="T12" s="415"/>
      <c r="U12" s="415"/>
      <c r="V12" s="415"/>
      <c r="W12" s="415"/>
      <c r="X12" s="415"/>
      <c r="Y12" s="415"/>
      <c r="Z12" s="415"/>
    </row>
    <row r="13" spans="1:26" ht="15.75" customHeight="1">
      <c r="A13" s="416" t="s">
        <v>177</v>
      </c>
      <c r="B13" s="417">
        <f>'Use Allocation'!B14</f>
        <v>0</v>
      </c>
      <c r="C13" s="450"/>
      <c r="D13" s="449" t="s">
        <v>215</v>
      </c>
      <c r="E13" s="450"/>
      <c r="F13" s="449" t="s">
        <v>215</v>
      </c>
      <c r="G13" s="414"/>
      <c r="H13" s="482"/>
      <c r="I13" s="483"/>
      <c r="J13" s="483"/>
      <c r="K13" s="483"/>
      <c r="L13" s="484"/>
      <c r="M13" s="415"/>
      <c r="N13" s="415"/>
      <c r="O13" s="415"/>
      <c r="P13" s="415"/>
      <c r="Q13" s="415"/>
      <c r="R13" s="415"/>
      <c r="S13" s="415"/>
      <c r="T13" s="415"/>
      <c r="U13" s="415"/>
      <c r="V13" s="415"/>
      <c r="W13" s="415"/>
      <c r="X13" s="415"/>
      <c r="Y13" s="415"/>
      <c r="Z13" s="415"/>
    </row>
    <row r="14" spans="1:26" ht="15.75" customHeight="1">
      <c r="A14" s="416" t="s">
        <v>178</v>
      </c>
      <c r="B14" s="417">
        <f>Costs!B14</f>
        <v>16500</v>
      </c>
      <c r="C14" s="450"/>
      <c r="D14" s="449" t="s">
        <v>215</v>
      </c>
      <c r="E14" s="450"/>
      <c r="F14" s="449" t="s">
        <v>215</v>
      </c>
      <c r="G14" s="414"/>
      <c r="H14" s="482"/>
      <c r="I14" s="483"/>
      <c r="J14" s="483"/>
      <c r="K14" s="483"/>
      <c r="L14" s="484"/>
      <c r="M14" s="415"/>
      <c r="N14" s="415"/>
      <c r="O14" s="415"/>
      <c r="P14" s="415"/>
      <c r="Q14" s="415"/>
      <c r="R14" s="415"/>
      <c r="S14" s="415"/>
      <c r="T14" s="415"/>
      <c r="U14" s="415"/>
      <c r="V14" s="415"/>
      <c r="W14" s="415"/>
      <c r="X14" s="415"/>
      <c r="Y14" s="415"/>
      <c r="Z14" s="415"/>
    </row>
    <row r="15" spans="1:26" ht="15.75" customHeight="1">
      <c r="A15" s="416" t="s">
        <v>179</v>
      </c>
      <c r="B15" s="417">
        <f>Costs!B15</f>
        <v>42000</v>
      </c>
      <c r="C15" s="450"/>
      <c r="D15" s="449" t="s">
        <v>215</v>
      </c>
      <c r="E15" s="450"/>
      <c r="F15" s="449" t="s">
        <v>215</v>
      </c>
      <c r="G15" s="414"/>
      <c r="H15" s="485"/>
      <c r="I15" s="486"/>
      <c r="J15" s="486"/>
      <c r="K15" s="486"/>
      <c r="L15" s="487"/>
      <c r="M15" s="415"/>
      <c r="N15" s="415"/>
      <c r="O15" s="415"/>
      <c r="P15" s="415"/>
      <c r="Q15" s="415"/>
      <c r="R15" s="415"/>
      <c r="S15" s="415"/>
      <c r="T15" s="415"/>
      <c r="U15" s="415"/>
      <c r="V15" s="415"/>
      <c r="W15" s="415"/>
      <c r="X15" s="415"/>
      <c r="Y15" s="415"/>
      <c r="Z15" s="415"/>
    </row>
    <row r="16" spans="1:26" ht="15.75" customHeight="1">
      <c r="A16" s="416" t="s">
        <v>216</v>
      </c>
      <c r="B16" s="417">
        <f>'Development by Block'!AC9+'Development by Block'!AC10</f>
        <v>180000</v>
      </c>
      <c r="C16" s="450"/>
      <c r="D16" s="449">
        <v>79500</v>
      </c>
      <c r="E16" s="477"/>
      <c r="F16" s="478">
        <f>(B16+B13+B14+B15)/D16</f>
        <v>3</v>
      </c>
      <c r="G16" s="414"/>
      <c r="H16" s="479">
        <f t="shared" ref="H16:H17" si="5">IF(F16&gt;3,1,0)</f>
        <v>0</v>
      </c>
      <c r="I16" s="480">
        <f t="shared" ref="I16:I17" si="6">F16-3</f>
        <v>0</v>
      </c>
      <c r="J16" s="480">
        <f t="shared" ref="J16:J17" si="7">IF(I16&gt;0, I16,0)</f>
        <v>0</v>
      </c>
      <c r="K16" s="480">
        <f t="shared" ref="K16:K17" si="8">J16*$L16</f>
        <v>0</v>
      </c>
      <c r="L16" s="481">
        <v>1.4285714285714286</v>
      </c>
      <c r="M16" s="415"/>
      <c r="N16" s="415"/>
      <c r="O16" s="415"/>
      <c r="P16" s="415"/>
      <c r="Q16" s="415"/>
      <c r="R16" s="415"/>
      <c r="S16" s="415"/>
      <c r="T16" s="415"/>
      <c r="U16" s="415"/>
      <c r="V16" s="415"/>
      <c r="W16" s="415"/>
      <c r="X16" s="415"/>
      <c r="Y16" s="415"/>
      <c r="Z16" s="415"/>
    </row>
    <row r="17" spans="1:26" ht="15.75" customHeight="1">
      <c r="A17" s="491" t="s">
        <v>217</v>
      </c>
      <c r="B17" s="417">
        <f>'Development by Block'!AC11</f>
        <v>240000</v>
      </c>
      <c r="C17" s="450"/>
      <c r="D17" s="449">
        <v>69000</v>
      </c>
      <c r="E17" s="477"/>
      <c r="F17" s="478">
        <f>B17/D17</f>
        <v>3.4782608695652173</v>
      </c>
      <c r="G17" s="414"/>
      <c r="H17" s="482">
        <f t="shared" si="5"/>
        <v>1</v>
      </c>
      <c r="I17" s="483">
        <f t="shared" si="6"/>
        <v>0.47826086956521729</v>
      </c>
      <c r="J17" s="483">
        <f t="shared" si="7"/>
        <v>0.47826086956521729</v>
      </c>
      <c r="K17" s="483">
        <f t="shared" si="8"/>
        <v>0.59782608695652162</v>
      </c>
      <c r="L17" s="484">
        <v>1.25</v>
      </c>
      <c r="M17" s="415"/>
      <c r="N17" s="415"/>
      <c r="O17" s="415"/>
      <c r="P17" s="415"/>
      <c r="Q17" s="415"/>
      <c r="R17" s="415"/>
      <c r="S17" s="415"/>
      <c r="T17" s="415"/>
      <c r="U17" s="415"/>
      <c r="V17" s="415"/>
      <c r="W17" s="415"/>
      <c r="X17" s="415"/>
      <c r="Y17" s="415"/>
      <c r="Z17" s="415"/>
    </row>
    <row r="18" spans="1:26" ht="15.75" customHeight="1">
      <c r="A18" s="407" t="s">
        <v>26</v>
      </c>
      <c r="B18" s="470" t="str">
        <f>'Development by Block'!AC12</f>
        <v>Total SF</v>
      </c>
      <c r="C18" s="471"/>
      <c r="D18" s="472"/>
      <c r="E18" s="472"/>
      <c r="F18" s="473"/>
      <c r="G18" s="414"/>
      <c r="H18" s="492" t="s">
        <v>26</v>
      </c>
      <c r="I18" s="493"/>
      <c r="J18" s="493"/>
      <c r="K18" s="493"/>
      <c r="L18" s="494"/>
      <c r="M18" s="415"/>
      <c r="N18" s="415"/>
      <c r="O18" s="415"/>
      <c r="P18" s="415"/>
      <c r="Q18" s="415"/>
      <c r="R18" s="415"/>
      <c r="S18" s="415"/>
      <c r="T18" s="415"/>
      <c r="U18" s="415"/>
      <c r="V18" s="415"/>
      <c r="W18" s="415"/>
      <c r="X18" s="415"/>
      <c r="Y18" s="415"/>
      <c r="Z18" s="415"/>
    </row>
    <row r="19" spans="1:26" ht="15.75" customHeight="1">
      <c r="A19" s="416" t="s">
        <v>181</v>
      </c>
      <c r="B19" s="417">
        <f>Costs!B19</f>
        <v>0</v>
      </c>
      <c r="C19" s="450"/>
      <c r="D19" s="450" t="s">
        <v>218</v>
      </c>
      <c r="E19" s="417"/>
      <c r="F19" s="449" t="s">
        <v>218</v>
      </c>
      <c r="G19" s="414"/>
      <c r="H19" s="495"/>
      <c r="I19" s="483"/>
      <c r="J19" s="483"/>
      <c r="K19" s="483"/>
      <c r="L19" s="496"/>
      <c r="M19" s="415"/>
      <c r="N19" s="415"/>
      <c r="O19" s="415"/>
      <c r="P19" s="415"/>
      <c r="Q19" s="415"/>
      <c r="R19" s="415"/>
      <c r="S19" s="415"/>
      <c r="T19" s="415"/>
      <c r="U19" s="415"/>
      <c r="V19" s="415"/>
      <c r="W19" s="415"/>
      <c r="X19" s="415"/>
      <c r="Y19" s="415"/>
      <c r="Z19" s="415"/>
    </row>
    <row r="20" spans="1:26" ht="15.75" customHeight="1">
      <c r="A20" s="416" t="s">
        <v>182</v>
      </c>
      <c r="B20" s="417">
        <f>Costs!B20</f>
        <v>12000</v>
      </c>
      <c r="C20" s="450"/>
      <c r="D20" s="450" t="s">
        <v>218</v>
      </c>
      <c r="E20" s="417"/>
      <c r="F20" s="449" t="s">
        <v>218</v>
      </c>
      <c r="G20" s="414"/>
      <c r="H20" s="495"/>
      <c r="I20" s="483"/>
      <c r="J20" s="483"/>
      <c r="K20" s="483"/>
      <c r="L20" s="496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415"/>
      <c r="Z20" s="415"/>
    </row>
    <row r="21" spans="1:26" ht="15.75" customHeight="1">
      <c r="A21" s="416" t="s">
        <v>183</v>
      </c>
      <c r="B21" s="417">
        <f>Costs!B21</f>
        <v>18000</v>
      </c>
      <c r="C21" s="450"/>
      <c r="D21" s="450" t="s">
        <v>218</v>
      </c>
      <c r="E21" s="417"/>
      <c r="F21" s="449" t="s">
        <v>218</v>
      </c>
      <c r="G21" s="414"/>
      <c r="H21" s="495"/>
      <c r="I21" s="483"/>
      <c r="J21" s="483"/>
      <c r="K21" s="483"/>
      <c r="L21" s="496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415"/>
      <c r="Z21" s="415"/>
    </row>
    <row r="22" spans="1:26" ht="15.75" customHeight="1">
      <c r="A22" s="416" t="s">
        <v>219</v>
      </c>
      <c r="B22" s="417">
        <f>'Development by Block'!AC13</f>
        <v>25000</v>
      </c>
      <c r="C22" s="450"/>
      <c r="D22" s="449">
        <v>17500</v>
      </c>
      <c r="E22" s="477"/>
      <c r="F22" s="478">
        <f>(B22+B19+B20+B21)/D22</f>
        <v>3.1428571428571428</v>
      </c>
      <c r="G22" s="414"/>
      <c r="H22" s="479">
        <f t="shared" ref="H22:H24" si="9">IF(F22&gt;3,1,0)</f>
        <v>1</v>
      </c>
      <c r="I22" s="480">
        <f t="shared" ref="I22:I24" si="10">F22-3</f>
        <v>0.14285714285714279</v>
      </c>
      <c r="J22" s="480">
        <f t="shared" ref="J22:J24" si="11">IF(I22&gt;0, I22,0)</f>
        <v>0.14285714285714279</v>
      </c>
      <c r="K22" s="480">
        <f t="shared" ref="K22:K24" si="12">J22*$L22</f>
        <v>0.20408163265306115</v>
      </c>
      <c r="L22" s="481">
        <v>1.4285714285714286</v>
      </c>
      <c r="M22" s="415"/>
      <c r="N22" s="415"/>
      <c r="O22" s="415"/>
      <c r="P22" s="415"/>
      <c r="Q22" s="415"/>
      <c r="R22" s="415"/>
      <c r="S22" s="415"/>
      <c r="T22" s="415"/>
      <c r="U22" s="415"/>
      <c r="V22" s="415"/>
      <c r="W22" s="415"/>
      <c r="X22" s="415"/>
      <c r="Y22" s="415"/>
      <c r="Z22" s="415"/>
    </row>
    <row r="23" spans="1:26" ht="15.75" customHeight="1">
      <c r="A23" s="416" t="s">
        <v>201</v>
      </c>
      <c r="B23" s="417">
        <f>'Development by Block'!AC14</f>
        <v>40000</v>
      </c>
      <c r="C23" s="450"/>
      <c r="D23" s="450">
        <f>40000/(8/3)</f>
        <v>15000</v>
      </c>
      <c r="E23" s="477"/>
      <c r="F23" s="478">
        <f t="shared" ref="F23:F24" si="13">B23/D23</f>
        <v>2.6666666666666665</v>
      </c>
      <c r="G23" s="414"/>
      <c r="H23" s="482">
        <f t="shared" si="9"/>
        <v>0</v>
      </c>
      <c r="I23" s="483">
        <f t="shared" si="10"/>
        <v>-0.33333333333333348</v>
      </c>
      <c r="J23" s="483">
        <f t="shared" si="11"/>
        <v>0</v>
      </c>
      <c r="K23" s="483">
        <f t="shared" si="12"/>
        <v>0</v>
      </c>
      <c r="L23" s="484">
        <v>1.3333333333333333</v>
      </c>
      <c r="M23" s="415"/>
      <c r="N23" s="415"/>
      <c r="O23" s="415"/>
      <c r="P23" s="415"/>
      <c r="Q23" s="415"/>
      <c r="R23" s="415"/>
      <c r="S23" s="415"/>
      <c r="T23" s="415"/>
      <c r="U23" s="415"/>
      <c r="V23" s="415"/>
      <c r="W23" s="415"/>
      <c r="X23" s="415"/>
      <c r="Y23" s="415"/>
      <c r="Z23" s="415"/>
    </row>
    <row r="24" spans="1:26" ht="15.75" customHeight="1">
      <c r="A24" s="416" t="s">
        <v>96</v>
      </c>
      <c r="B24" s="417">
        <f>'Development by Block'!AC15</f>
        <v>0</v>
      </c>
      <c r="C24" s="450"/>
      <c r="D24" s="449">
        <f>80000/(8/3)</f>
        <v>30000</v>
      </c>
      <c r="E24" s="497"/>
      <c r="F24" s="478">
        <f t="shared" si="13"/>
        <v>0</v>
      </c>
      <c r="G24" s="414"/>
      <c r="H24" s="482">
        <f t="shared" si="9"/>
        <v>0</v>
      </c>
      <c r="I24" s="483">
        <f t="shared" si="10"/>
        <v>-3</v>
      </c>
      <c r="J24" s="483">
        <f t="shared" si="11"/>
        <v>0</v>
      </c>
      <c r="K24" s="483">
        <f t="shared" si="12"/>
        <v>0</v>
      </c>
      <c r="L24" s="484">
        <v>1.3333333333333333</v>
      </c>
      <c r="M24" s="415"/>
      <c r="N24" s="415"/>
      <c r="O24" s="415"/>
      <c r="P24" s="415"/>
      <c r="Q24" s="415"/>
      <c r="R24" s="415"/>
      <c r="S24" s="415"/>
      <c r="T24" s="415"/>
      <c r="U24" s="415"/>
      <c r="V24" s="415"/>
      <c r="W24" s="415"/>
      <c r="X24" s="415"/>
      <c r="Y24" s="415"/>
      <c r="Z24" s="415"/>
    </row>
    <row r="25" spans="1:26" ht="15.75" customHeight="1">
      <c r="A25" s="407" t="s">
        <v>184</v>
      </c>
      <c r="B25" s="470" t="str">
        <f>'Development by Block'!AC16</f>
        <v>Total SF</v>
      </c>
      <c r="C25" s="471"/>
      <c r="D25" s="472"/>
      <c r="E25" s="472"/>
      <c r="F25" s="473"/>
      <c r="G25" s="498"/>
      <c r="H25" s="499">
        <f>SUM(H5:H24)</f>
        <v>2</v>
      </c>
      <c r="I25" s="500" t="s">
        <v>220</v>
      </c>
      <c r="J25" s="501"/>
      <c r="K25" s="501"/>
      <c r="L25" s="502"/>
      <c r="M25" s="415"/>
      <c r="N25" s="415"/>
      <c r="O25" s="415"/>
      <c r="P25" s="415"/>
      <c r="Q25" s="415"/>
      <c r="R25" s="415"/>
      <c r="S25" s="415"/>
      <c r="T25" s="415"/>
      <c r="U25" s="415"/>
      <c r="V25" s="415"/>
      <c r="W25" s="415"/>
      <c r="X25" s="415"/>
      <c r="Y25" s="415"/>
      <c r="Z25" s="415"/>
    </row>
    <row r="26" spans="1:26" ht="15.75" customHeight="1">
      <c r="A26" s="416" t="s">
        <v>186</v>
      </c>
      <c r="B26" s="417">
        <f>Costs!B26</f>
        <v>19500</v>
      </c>
      <c r="C26" s="450"/>
      <c r="D26" s="449" t="s">
        <v>214</v>
      </c>
      <c r="E26" s="477"/>
      <c r="F26" s="478" t="s">
        <v>214</v>
      </c>
      <c r="G26" s="414"/>
      <c r="H26" s="416"/>
      <c r="I26" s="414"/>
      <c r="J26" s="414"/>
      <c r="K26" s="414"/>
      <c r="L26" s="414"/>
      <c r="M26" s="415"/>
      <c r="N26" s="415"/>
      <c r="O26" s="415"/>
      <c r="P26" s="415"/>
      <c r="Q26" s="415"/>
      <c r="R26" s="415"/>
      <c r="S26" s="415"/>
      <c r="T26" s="415"/>
      <c r="U26" s="415"/>
      <c r="V26" s="415"/>
      <c r="W26" s="415"/>
      <c r="X26" s="415"/>
      <c r="Y26" s="415"/>
      <c r="Z26" s="415"/>
    </row>
    <row r="27" spans="1:26" ht="15.75" customHeight="1">
      <c r="A27" s="416" t="s">
        <v>221</v>
      </c>
      <c r="B27" s="417">
        <f>Costs!B27</f>
        <v>0</v>
      </c>
      <c r="C27" s="450"/>
      <c r="D27" s="449" t="s">
        <v>214</v>
      </c>
      <c r="E27" s="477"/>
      <c r="F27" s="478" t="s">
        <v>214</v>
      </c>
      <c r="G27" s="414"/>
      <c r="H27" s="416"/>
      <c r="I27" s="414"/>
      <c r="J27" s="414"/>
      <c r="K27" s="414"/>
      <c r="L27" s="414"/>
      <c r="M27" s="415"/>
      <c r="N27" s="415"/>
      <c r="O27" s="415"/>
      <c r="P27" s="415"/>
      <c r="Q27" s="415"/>
      <c r="R27" s="415"/>
      <c r="S27" s="415"/>
      <c r="T27" s="415"/>
      <c r="U27" s="415"/>
      <c r="V27" s="415"/>
      <c r="W27" s="415"/>
      <c r="X27" s="415"/>
      <c r="Y27" s="415"/>
      <c r="Z27" s="415"/>
    </row>
    <row r="28" spans="1:26" ht="15.75" customHeight="1">
      <c r="A28" s="416" t="s">
        <v>188</v>
      </c>
      <c r="B28" s="417">
        <f>Costs!B28</f>
        <v>0</v>
      </c>
      <c r="C28" s="450"/>
      <c r="D28" s="449" t="s">
        <v>214</v>
      </c>
      <c r="E28" s="477"/>
      <c r="F28" s="478" t="s">
        <v>214</v>
      </c>
      <c r="G28" s="414"/>
      <c r="H28" s="416"/>
      <c r="I28" s="414"/>
      <c r="J28" s="414"/>
      <c r="K28" s="414"/>
      <c r="L28" s="414"/>
      <c r="M28" s="415"/>
      <c r="N28" s="415"/>
      <c r="O28" s="415"/>
      <c r="P28" s="415"/>
      <c r="Q28" s="415"/>
      <c r="R28" s="415"/>
      <c r="S28" s="415"/>
      <c r="T28" s="415"/>
      <c r="U28" s="415"/>
      <c r="V28" s="415"/>
      <c r="W28" s="415"/>
      <c r="X28" s="415"/>
      <c r="Y28" s="415"/>
      <c r="Z28" s="415"/>
    </row>
    <row r="29" spans="1:26" ht="15.75" customHeight="1">
      <c r="A29" s="407" t="s">
        <v>34</v>
      </c>
      <c r="B29" s="470" t="str">
        <f>'Development by Block'!AC20</f>
        <v>Total SF</v>
      </c>
      <c r="C29" s="471"/>
      <c r="D29" s="472"/>
      <c r="E29" s="472"/>
      <c r="F29" s="473"/>
      <c r="G29" s="414"/>
      <c r="H29" s="416"/>
      <c r="I29" s="414"/>
      <c r="J29" s="414"/>
      <c r="K29" s="414"/>
      <c r="L29" s="414"/>
      <c r="M29" s="415"/>
      <c r="N29" s="415"/>
      <c r="O29" s="415"/>
      <c r="P29" s="415"/>
      <c r="Q29" s="415"/>
      <c r="R29" s="415"/>
      <c r="S29" s="415"/>
      <c r="T29" s="415"/>
      <c r="U29" s="415"/>
      <c r="V29" s="415"/>
      <c r="W29" s="415"/>
      <c r="X29" s="415"/>
      <c r="Y29" s="415"/>
      <c r="Z29" s="415"/>
    </row>
    <row r="30" spans="1:26" ht="15.75" customHeight="1">
      <c r="A30" s="416" t="s">
        <v>35</v>
      </c>
      <c r="B30" s="417">
        <f>'Development by Block'!AC21</f>
        <v>15000</v>
      </c>
      <c r="C30" s="450"/>
      <c r="D30" s="449" t="s">
        <v>214</v>
      </c>
      <c r="E30" s="477"/>
      <c r="F30" s="478" t="s">
        <v>214</v>
      </c>
      <c r="G30" s="414"/>
      <c r="H30" s="416"/>
      <c r="I30" s="414"/>
      <c r="J30" s="414"/>
      <c r="K30" s="414"/>
      <c r="L30" s="414"/>
      <c r="M30" s="415"/>
      <c r="N30" s="415"/>
      <c r="O30" s="415"/>
      <c r="P30" s="415"/>
      <c r="Q30" s="415"/>
      <c r="R30" s="415"/>
      <c r="S30" s="415"/>
      <c r="T30" s="415"/>
      <c r="U30" s="415"/>
      <c r="V30" s="415"/>
      <c r="W30" s="415"/>
      <c r="X30" s="415"/>
      <c r="Y30" s="415"/>
      <c r="Z30" s="415"/>
    </row>
    <row r="31" spans="1:26" ht="15.75" customHeight="1">
      <c r="A31" s="416" t="s">
        <v>36</v>
      </c>
      <c r="B31" s="417">
        <f>'Development by Block'!AC22</f>
        <v>10000</v>
      </c>
      <c r="C31" s="450"/>
      <c r="D31" s="449" t="s">
        <v>214</v>
      </c>
      <c r="E31" s="477"/>
      <c r="F31" s="478" t="s">
        <v>214</v>
      </c>
      <c r="G31" s="414"/>
      <c r="H31" s="416"/>
      <c r="I31" s="414"/>
      <c r="J31" s="414"/>
      <c r="K31" s="414"/>
      <c r="L31" s="414"/>
      <c r="M31" s="415"/>
      <c r="N31" s="415"/>
      <c r="O31" s="415"/>
      <c r="P31" s="415"/>
      <c r="Q31" s="415"/>
      <c r="R31" s="415"/>
      <c r="S31" s="415"/>
      <c r="T31" s="415"/>
      <c r="U31" s="415"/>
      <c r="V31" s="415"/>
      <c r="W31" s="415"/>
      <c r="X31" s="415"/>
      <c r="Y31" s="415"/>
      <c r="Z31" s="415"/>
    </row>
    <row r="32" spans="1:26" ht="15.75" customHeight="1">
      <c r="A32" s="416" t="s">
        <v>37</v>
      </c>
      <c r="B32" s="417">
        <f>'Development by Block'!AC23</f>
        <v>10000</v>
      </c>
      <c r="C32" s="450"/>
      <c r="D32" s="449" t="s">
        <v>214</v>
      </c>
      <c r="E32" s="477"/>
      <c r="F32" s="478" t="s">
        <v>214</v>
      </c>
      <c r="G32" s="414"/>
      <c r="H32" s="416"/>
      <c r="I32" s="414"/>
      <c r="J32" s="414"/>
      <c r="K32" s="414"/>
      <c r="L32" s="414"/>
      <c r="M32" s="415"/>
      <c r="N32" s="415"/>
      <c r="O32" s="415"/>
      <c r="P32" s="415"/>
      <c r="Q32" s="415"/>
      <c r="R32" s="415"/>
      <c r="S32" s="415"/>
      <c r="T32" s="415"/>
      <c r="U32" s="415"/>
      <c r="V32" s="415"/>
      <c r="W32" s="415"/>
      <c r="X32" s="415"/>
      <c r="Y32" s="415"/>
      <c r="Z32" s="415"/>
    </row>
    <row r="33" spans="1:26" ht="15.75" customHeight="1">
      <c r="A33" s="407" t="s">
        <v>105</v>
      </c>
      <c r="B33" s="470" t="str">
        <f>'Development by Block'!AC24</f>
        <v>Total Spaces</v>
      </c>
      <c r="C33" s="471"/>
      <c r="D33" s="472"/>
      <c r="E33" s="472"/>
      <c r="F33" s="473"/>
      <c r="G33" s="414"/>
      <c r="H33" s="416"/>
      <c r="I33" s="414"/>
      <c r="J33" s="414"/>
      <c r="K33" s="414"/>
      <c r="L33" s="414"/>
      <c r="M33" s="415"/>
      <c r="N33" s="415"/>
      <c r="O33" s="415"/>
      <c r="P33" s="415"/>
      <c r="Q33" s="415"/>
      <c r="R33" s="415"/>
      <c r="S33" s="415"/>
      <c r="T33" s="415"/>
      <c r="U33" s="415"/>
      <c r="V33" s="415"/>
      <c r="W33" s="415"/>
      <c r="X33" s="415"/>
      <c r="Y33" s="415"/>
      <c r="Z33" s="415"/>
    </row>
    <row r="34" spans="1:26" ht="15.75" customHeight="1">
      <c r="A34" s="416" t="s">
        <v>191</v>
      </c>
      <c r="B34" s="417">
        <f>'Development by Block'!AC25</f>
        <v>0</v>
      </c>
      <c r="C34" s="450"/>
      <c r="D34" s="449" t="s">
        <v>214</v>
      </c>
      <c r="E34" s="477"/>
      <c r="F34" s="478" t="s">
        <v>214</v>
      </c>
      <c r="G34" s="414"/>
      <c r="H34" s="416"/>
      <c r="I34" s="414"/>
      <c r="J34" s="414"/>
      <c r="K34" s="414"/>
      <c r="L34" s="414"/>
      <c r="M34" s="415"/>
      <c r="N34" s="415"/>
      <c r="O34" s="415"/>
      <c r="P34" s="415"/>
      <c r="Q34" s="415"/>
      <c r="R34" s="415"/>
      <c r="S34" s="415"/>
      <c r="T34" s="415"/>
      <c r="U34" s="415"/>
      <c r="V34" s="415"/>
      <c r="W34" s="415"/>
      <c r="X34" s="415"/>
      <c r="Y34" s="415"/>
      <c r="Z34" s="415"/>
    </row>
    <row r="35" spans="1:26" ht="15.75" customHeight="1">
      <c r="A35" s="416" t="s">
        <v>192</v>
      </c>
      <c r="B35" s="417">
        <f>'Development by Block'!AC26</f>
        <v>75</v>
      </c>
      <c r="C35" s="450"/>
      <c r="D35" s="449" t="s">
        <v>214</v>
      </c>
      <c r="E35" s="477"/>
      <c r="F35" s="478" t="s">
        <v>214</v>
      </c>
      <c r="G35" s="414"/>
      <c r="H35" s="416"/>
      <c r="I35" s="414"/>
      <c r="J35" s="414"/>
      <c r="K35" s="414"/>
      <c r="L35" s="414"/>
      <c r="M35" s="415"/>
      <c r="N35" s="415"/>
      <c r="O35" s="415"/>
      <c r="P35" s="415"/>
      <c r="Q35" s="415"/>
      <c r="R35" s="415"/>
      <c r="S35" s="415"/>
      <c r="T35" s="415"/>
      <c r="U35" s="415"/>
      <c r="V35" s="415"/>
      <c r="W35" s="415"/>
      <c r="X35" s="415"/>
      <c r="Y35" s="415"/>
      <c r="Z35" s="415"/>
    </row>
    <row r="36" spans="1:26" ht="15.75" customHeight="1">
      <c r="A36" s="416" t="s">
        <v>193</v>
      </c>
      <c r="B36" s="417">
        <f>'Development by Block'!AC27</f>
        <v>360</v>
      </c>
      <c r="C36" s="450"/>
      <c r="D36" s="449" t="s">
        <v>214</v>
      </c>
      <c r="E36" s="477"/>
      <c r="F36" s="478" t="s">
        <v>214</v>
      </c>
      <c r="G36" s="414"/>
      <c r="H36" s="416"/>
      <c r="I36" s="414"/>
      <c r="J36" s="414"/>
      <c r="K36" s="414"/>
      <c r="L36" s="414"/>
      <c r="M36" s="415"/>
      <c r="N36" s="415"/>
      <c r="O36" s="415"/>
      <c r="P36" s="415"/>
      <c r="Q36" s="415"/>
      <c r="R36" s="415"/>
      <c r="S36" s="415"/>
      <c r="T36" s="415"/>
      <c r="U36" s="415"/>
      <c r="V36" s="415"/>
      <c r="W36" s="415"/>
      <c r="X36" s="415"/>
      <c r="Y36" s="415"/>
      <c r="Z36" s="415"/>
    </row>
    <row r="37" spans="1:26" ht="15.75" customHeight="1">
      <c r="A37" s="416" t="s">
        <v>194</v>
      </c>
      <c r="B37" s="417">
        <f>'Development by Block'!AC28</f>
        <v>480</v>
      </c>
      <c r="C37" s="450"/>
      <c r="D37" s="449" t="s">
        <v>214</v>
      </c>
      <c r="E37" s="477"/>
      <c r="F37" s="478" t="s">
        <v>214</v>
      </c>
      <c r="G37" s="414"/>
      <c r="H37" s="416"/>
      <c r="I37" s="414"/>
      <c r="J37" s="414"/>
      <c r="K37" s="414"/>
      <c r="L37" s="414"/>
      <c r="M37" s="415"/>
      <c r="N37" s="415"/>
      <c r="O37" s="415"/>
      <c r="P37" s="415"/>
      <c r="Q37" s="415"/>
      <c r="R37" s="415"/>
      <c r="S37" s="415"/>
      <c r="T37" s="415"/>
      <c r="U37" s="415"/>
      <c r="V37" s="415"/>
      <c r="W37" s="415"/>
      <c r="X37" s="415"/>
      <c r="Y37" s="415"/>
      <c r="Z37" s="415"/>
    </row>
    <row r="38" spans="1:26" ht="15.75" customHeight="1">
      <c r="A38" s="416" t="s">
        <v>222</v>
      </c>
      <c r="B38" s="417">
        <f>'Development by Block'!AC29</f>
        <v>160</v>
      </c>
      <c r="C38" s="450"/>
      <c r="D38" s="449" t="s">
        <v>214</v>
      </c>
      <c r="E38" s="477"/>
      <c r="F38" s="478" t="s">
        <v>214</v>
      </c>
      <c r="G38" s="414"/>
      <c r="H38" s="416"/>
      <c r="I38" s="414"/>
      <c r="J38" s="414"/>
      <c r="K38" s="414"/>
      <c r="L38" s="414"/>
      <c r="M38" s="415"/>
      <c r="N38" s="415"/>
      <c r="O38" s="415"/>
      <c r="P38" s="415"/>
      <c r="Q38" s="415"/>
      <c r="R38" s="415"/>
      <c r="S38" s="415"/>
      <c r="T38" s="415"/>
      <c r="U38" s="415"/>
      <c r="V38" s="415"/>
      <c r="W38" s="415"/>
      <c r="X38" s="415"/>
      <c r="Y38" s="415"/>
      <c r="Z38" s="415"/>
    </row>
    <row r="39" spans="1:26" ht="15.75" customHeight="1">
      <c r="A39" s="416" t="s">
        <v>196</v>
      </c>
      <c r="B39" s="417">
        <f>'Development by Block'!AC30</f>
        <v>0</v>
      </c>
      <c r="C39" s="450"/>
      <c r="D39" s="450" t="s">
        <v>214</v>
      </c>
      <c r="E39" s="477"/>
      <c r="F39" s="478" t="s">
        <v>214</v>
      </c>
      <c r="G39" s="414"/>
      <c r="H39" s="416"/>
      <c r="I39" s="414"/>
      <c r="J39" s="414"/>
      <c r="K39" s="414"/>
      <c r="L39" s="414"/>
      <c r="M39" s="415"/>
      <c r="N39" s="415"/>
      <c r="O39" s="415"/>
      <c r="P39" s="415"/>
      <c r="Q39" s="415"/>
      <c r="R39" s="415"/>
      <c r="S39" s="415"/>
      <c r="T39" s="415"/>
      <c r="U39" s="415"/>
      <c r="V39" s="415"/>
      <c r="W39" s="415"/>
      <c r="X39" s="415"/>
      <c r="Y39" s="415"/>
      <c r="Z39" s="415"/>
    </row>
    <row r="40" spans="1:26" ht="15.75" customHeight="1">
      <c r="A40" s="503" t="s">
        <v>223</v>
      </c>
      <c r="B40" s="504"/>
      <c r="C40" s="504"/>
      <c r="D40" s="505"/>
      <c r="E40" s="506"/>
      <c r="F40" s="507" t="str">
        <f>IF(H25&gt;0,"CAUTION",0)</f>
        <v>CAUTION</v>
      </c>
      <c r="G40" s="414"/>
      <c r="H40" s="416"/>
      <c r="I40" s="414"/>
      <c r="J40" s="414"/>
      <c r="K40" s="414"/>
      <c r="L40" s="414"/>
      <c r="M40" s="415"/>
      <c r="N40" s="415"/>
      <c r="O40" s="415"/>
      <c r="P40" s="415"/>
      <c r="Q40" s="415"/>
      <c r="R40" s="415"/>
      <c r="S40" s="415"/>
      <c r="T40" s="415"/>
      <c r="U40" s="415"/>
      <c r="V40" s="415"/>
      <c r="W40" s="415"/>
      <c r="X40" s="415"/>
      <c r="Y40" s="415"/>
      <c r="Z40" s="415"/>
    </row>
    <row r="41" spans="1:26" ht="12" customHeight="1">
      <c r="A41" s="107"/>
      <c r="B41" s="2"/>
      <c r="C41" s="2"/>
      <c r="D41" s="109"/>
      <c r="E41" s="109"/>
      <c r="F41" s="440"/>
      <c r="G41" s="2"/>
      <c r="H41" s="107"/>
      <c r="I41" s="2"/>
      <c r="J41" s="2"/>
      <c r="K41" s="2"/>
      <c r="L41" s="2"/>
    </row>
    <row r="42" spans="1:26" ht="12" hidden="1" customHeight="1">
      <c r="A42" s="107"/>
      <c r="B42" s="2"/>
      <c r="C42" s="2"/>
      <c r="D42" s="109"/>
      <c r="E42" s="109"/>
      <c r="F42" s="440"/>
      <c r="G42" s="2"/>
      <c r="H42" s="107"/>
      <c r="I42" s="2"/>
      <c r="J42" s="2"/>
      <c r="K42" s="2"/>
      <c r="L42" s="2"/>
    </row>
    <row r="43" spans="1:26" ht="12" hidden="1" customHeight="1">
      <c r="A43" s="107"/>
      <c r="B43" s="2"/>
      <c r="C43" s="2"/>
      <c r="D43" s="109"/>
      <c r="E43" s="109"/>
      <c r="F43" s="107"/>
      <c r="G43" s="2"/>
      <c r="H43" s="107"/>
      <c r="I43" s="2"/>
      <c r="J43" s="2"/>
      <c r="K43" s="2"/>
      <c r="L43" s="2"/>
    </row>
    <row r="44" spans="1:26" ht="12" hidden="1" customHeight="1">
      <c r="A44" s="107"/>
      <c r="B44" s="2"/>
      <c r="C44" s="2"/>
      <c r="D44" s="109"/>
      <c r="E44" s="109"/>
      <c r="F44" s="440"/>
      <c r="G44" s="2"/>
      <c r="H44" s="107"/>
      <c r="I44" s="2"/>
      <c r="J44" s="2"/>
      <c r="K44" s="2"/>
      <c r="L44" s="2"/>
    </row>
    <row r="45" spans="1:26" ht="13.5" hidden="1" customHeight="1">
      <c r="A45" s="442"/>
      <c r="B45" s="442"/>
      <c r="C45" s="442"/>
      <c r="D45" s="442"/>
      <c r="E45" s="442"/>
      <c r="F45" s="442"/>
      <c r="G45" s="442"/>
      <c r="H45" s="508"/>
      <c r="I45" s="442"/>
      <c r="J45" s="442"/>
      <c r="K45" s="442"/>
      <c r="L45" s="442"/>
    </row>
    <row r="46" spans="1:26" ht="13.5" hidden="1" customHeight="1">
      <c r="A46" s="442"/>
      <c r="B46" s="442"/>
      <c r="C46" s="442"/>
      <c r="D46" s="442"/>
      <c r="E46" s="442"/>
      <c r="F46" s="442"/>
      <c r="G46" s="442"/>
      <c r="H46" s="508"/>
      <c r="I46" s="442"/>
      <c r="J46" s="442"/>
      <c r="K46" s="442"/>
      <c r="L46" s="442"/>
    </row>
    <row r="47" spans="1:26" ht="13.5" hidden="1" customHeight="1">
      <c r="A47" s="442"/>
      <c r="B47" s="442"/>
      <c r="C47" s="442"/>
      <c r="D47" s="442"/>
      <c r="E47" s="442"/>
      <c r="F47" s="442"/>
      <c r="G47" s="442"/>
      <c r="H47" s="508"/>
      <c r="I47" s="442"/>
      <c r="J47" s="442"/>
      <c r="K47" s="442"/>
      <c r="L47" s="442"/>
    </row>
    <row r="48" spans="1:26" ht="13.5" hidden="1" customHeight="1">
      <c r="A48" s="442"/>
      <c r="B48" s="442"/>
      <c r="C48" s="442"/>
      <c r="D48" s="442"/>
      <c r="E48" s="442"/>
      <c r="F48" s="442"/>
      <c r="G48" s="442"/>
      <c r="H48" s="508"/>
      <c r="I48" s="442"/>
      <c r="J48" s="442"/>
      <c r="K48" s="442"/>
      <c r="L48" s="442"/>
    </row>
    <row r="49" spans="1:12" ht="13.5" hidden="1" customHeight="1">
      <c r="A49" s="442"/>
      <c r="B49" s="442"/>
      <c r="C49" s="442"/>
      <c r="D49" s="442"/>
      <c r="E49" s="442"/>
      <c r="F49" s="442"/>
      <c r="G49" s="442"/>
      <c r="H49" s="508"/>
      <c r="I49" s="442"/>
      <c r="J49" s="442"/>
      <c r="K49" s="442"/>
      <c r="L49" s="442"/>
    </row>
    <row r="50" spans="1:12" ht="13.5" hidden="1" customHeight="1">
      <c r="A50" s="442"/>
      <c r="B50" s="442"/>
      <c r="C50" s="442"/>
      <c r="D50" s="442"/>
      <c r="E50" s="442"/>
      <c r="F50" s="442"/>
      <c r="G50" s="442"/>
      <c r="H50" s="508"/>
      <c r="I50" s="442"/>
      <c r="J50" s="442"/>
      <c r="K50" s="442"/>
      <c r="L50" s="442"/>
    </row>
    <row r="51" spans="1:12" ht="13.5" hidden="1" customHeight="1">
      <c r="A51" s="442"/>
      <c r="B51" s="442"/>
      <c r="C51" s="442"/>
      <c r="D51" s="442"/>
      <c r="E51" s="442"/>
      <c r="F51" s="442"/>
      <c r="G51" s="442"/>
      <c r="H51" s="508"/>
      <c r="I51" s="442"/>
      <c r="J51" s="442"/>
      <c r="K51" s="442"/>
      <c r="L51" s="442"/>
    </row>
    <row r="52" spans="1:12" ht="13.5" hidden="1" customHeight="1">
      <c r="A52" s="442"/>
      <c r="B52" s="442"/>
      <c r="C52" s="442"/>
      <c r="D52" s="442"/>
      <c r="E52" s="442"/>
      <c r="F52" s="442"/>
      <c r="G52" s="442"/>
      <c r="H52" s="508"/>
      <c r="I52" s="442"/>
      <c r="J52" s="442"/>
      <c r="K52" s="442"/>
      <c r="L52" s="442"/>
    </row>
    <row r="53" spans="1:12" ht="13.5" hidden="1" customHeight="1">
      <c r="A53" s="442"/>
      <c r="B53" s="442"/>
      <c r="C53" s="442"/>
      <c r="D53" s="442"/>
      <c r="E53" s="442"/>
      <c r="F53" s="442"/>
      <c r="G53" s="442"/>
      <c r="H53" s="508"/>
      <c r="I53" s="442"/>
      <c r="J53" s="442"/>
      <c r="K53" s="442"/>
      <c r="L53" s="442"/>
    </row>
    <row r="54" spans="1:12" ht="13.5" hidden="1" customHeight="1">
      <c r="A54" s="442"/>
      <c r="B54" s="442"/>
      <c r="C54" s="442"/>
      <c r="D54" s="442"/>
      <c r="E54" s="442"/>
      <c r="F54" s="442"/>
      <c r="G54" s="442"/>
      <c r="H54" s="508"/>
      <c r="I54" s="442"/>
      <c r="J54" s="442"/>
      <c r="K54" s="442"/>
      <c r="L54" s="442"/>
    </row>
    <row r="55" spans="1:12" ht="13.5" hidden="1" customHeight="1">
      <c r="A55" s="442"/>
      <c r="B55" s="442"/>
      <c r="C55" s="442"/>
      <c r="D55" s="442"/>
      <c r="E55" s="442"/>
      <c r="F55" s="442"/>
      <c r="G55" s="442"/>
      <c r="H55" s="508"/>
      <c r="I55" s="442"/>
      <c r="J55" s="442"/>
      <c r="K55" s="442"/>
      <c r="L55" s="442"/>
    </row>
    <row r="56" spans="1:12" ht="13.5" hidden="1" customHeight="1">
      <c r="A56" s="442"/>
      <c r="B56" s="442"/>
      <c r="C56" s="442"/>
      <c r="D56" s="442"/>
      <c r="E56" s="442"/>
      <c r="F56" s="442"/>
      <c r="G56" s="442"/>
      <c r="H56" s="508"/>
      <c r="I56" s="442"/>
      <c r="J56" s="442"/>
      <c r="K56" s="442"/>
      <c r="L56" s="442"/>
    </row>
    <row r="57" spans="1:12" ht="13.5" hidden="1" customHeight="1">
      <c r="A57" s="442"/>
      <c r="B57" s="442"/>
      <c r="C57" s="442"/>
      <c r="D57" s="442"/>
      <c r="E57" s="442"/>
      <c r="F57" s="442"/>
      <c r="G57" s="442"/>
      <c r="H57" s="508"/>
      <c r="I57" s="442"/>
      <c r="J57" s="442"/>
      <c r="K57" s="442"/>
      <c r="L57" s="442"/>
    </row>
    <row r="58" spans="1:12" ht="13.5" hidden="1" customHeight="1">
      <c r="A58" s="442"/>
      <c r="B58" s="442"/>
      <c r="C58" s="442"/>
      <c r="D58" s="442"/>
      <c r="E58" s="442"/>
      <c r="F58" s="442"/>
      <c r="G58" s="442"/>
      <c r="H58" s="508"/>
      <c r="I58" s="442"/>
      <c r="J58" s="442"/>
      <c r="K58" s="442"/>
      <c r="L58" s="442"/>
    </row>
    <row r="59" spans="1:12" ht="13.5" hidden="1" customHeight="1">
      <c r="A59" s="442"/>
      <c r="B59" s="442"/>
      <c r="C59" s="442"/>
      <c r="D59" s="442"/>
      <c r="E59" s="442"/>
      <c r="F59" s="442"/>
      <c r="G59" s="442"/>
      <c r="H59" s="508"/>
      <c r="I59" s="442"/>
      <c r="J59" s="442"/>
      <c r="K59" s="442"/>
      <c r="L59" s="442"/>
    </row>
    <row r="60" spans="1:12" ht="13.5" hidden="1" customHeight="1">
      <c r="A60" s="442"/>
      <c r="B60" s="442"/>
      <c r="C60" s="442"/>
      <c r="D60" s="442"/>
      <c r="E60" s="442"/>
      <c r="F60" s="442"/>
      <c r="G60" s="442"/>
      <c r="H60" s="508"/>
      <c r="I60" s="442"/>
      <c r="J60" s="442"/>
      <c r="K60" s="442"/>
      <c r="L60" s="442"/>
    </row>
    <row r="61" spans="1:12" ht="13.5" hidden="1" customHeight="1">
      <c r="A61" s="442"/>
      <c r="B61" s="442"/>
      <c r="C61" s="442"/>
      <c r="D61" s="442"/>
      <c r="E61" s="442"/>
      <c r="F61" s="442"/>
      <c r="G61" s="442"/>
      <c r="H61" s="508"/>
      <c r="I61" s="442"/>
      <c r="J61" s="442"/>
      <c r="K61" s="442"/>
      <c r="L61" s="442"/>
    </row>
    <row r="62" spans="1:12" ht="13.5" hidden="1" customHeight="1">
      <c r="A62" s="442"/>
      <c r="B62" s="442"/>
      <c r="C62" s="442"/>
      <c r="D62" s="442"/>
      <c r="E62" s="442"/>
      <c r="F62" s="442"/>
      <c r="G62" s="442"/>
      <c r="H62" s="508"/>
      <c r="I62" s="442"/>
      <c r="J62" s="442"/>
      <c r="K62" s="442"/>
      <c r="L62" s="442"/>
    </row>
    <row r="63" spans="1:12" ht="13.5" hidden="1" customHeight="1">
      <c r="A63" s="442"/>
      <c r="B63" s="442"/>
      <c r="C63" s="442"/>
      <c r="D63" s="442"/>
      <c r="E63" s="442"/>
      <c r="F63" s="442"/>
      <c r="G63" s="442"/>
      <c r="H63" s="508"/>
      <c r="I63" s="442"/>
      <c r="J63" s="442"/>
      <c r="K63" s="442"/>
      <c r="L63" s="442"/>
    </row>
    <row r="64" spans="1:12" ht="13.5" hidden="1" customHeight="1">
      <c r="A64" s="442"/>
      <c r="B64" s="442"/>
      <c r="C64" s="442"/>
      <c r="D64" s="442"/>
      <c r="E64" s="442"/>
      <c r="F64" s="442"/>
      <c r="G64" s="442"/>
      <c r="H64" s="508"/>
      <c r="I64" s="442"/>
      <c r="J64" s="442"/>
      <c r="K64" s="442"/>
      <c r="L64" s="442"/>
    </row>
    <row r="65" spans="1:12" ht="13.5" hidden="1" customHeight="1">
      <c r="A65" s="442"/>
      <c r="B65" s="442"/>
      <c r="C65" s="442"/>
      <c r="D65" s="442"/>
      <c r="E65" s="442"/>
      <c r="F65" s="442"/>
      <c r="G65" s="442"/>
      <c r="H65" s="508"/>
      <c r="I65" s="442"/>
      <c r="J65" s="442"/>
      <c r="K65" s="442"/>
      <c r="L65" s="442"/>
    </row>
    <row r="66" spans="1:12" ht="13.5" hidden="1" customHeight="1">
      <c r="A66" s="442"/>
      <c r="B66" s="442"/>
      <c r="C66" s="442"/>
      <c r="D66" s="442"/>
      <c r="E66" s="442"/>
      <c r="F66" s="442"/>
      <c r="G66" s="442"/>
      <c r="H66" s="508"/>
      <c r="I66" s="442"/>
      <c r="J66" s="442"/>
      <c r="K66" s="442"/>
      <c r="L66" s="442"/>
    </row>
    <row r="67" spans="1:12" ht="13.5" customHeight="1">
      <c r="A67" s="442"/>
      <c r="B67" s="442"/>
      <c r="C67" s="442"/>
      <c r="D67" s="442"/>
      <c r="E67" s="442"/>
      <c r="F67" s="442"/>
      <c r="G67" s="442"/>
      <c r="H67" s="508"/>
      <c r="I67" s="442"/>
      <c r="J67" s="442"/>
      <c r="K67" s="442"/>
      <c r="L67" s="442"/>
    </row>
    <row r="68" spans="1:12" ht="13.5" customHeight="1"/>
    <row r="69" spans="1:12" ht="13.5" customHeight="1">
      <c r="A69" s="442"/>
      <c r="B69" s="442"/>
      <c r="C69" s="442"/>
      <c r="D69" s="442"/>
      <c r="E69" s="442"/>
      <c r="F69" s="442"/>
      <c r="G69" s="442"/>
      <c r="H69" s="508"/>
      <c r="I69" s="442"/>
      <c r="J69" s="442"/>
      <c r="K69" s="442"/>
      <c r="L69" s="442"/>
    </row>
    <row r="70" spans="1:12" ht="15.75" customHeight="1"/>
    <row r="71" spans="1:12" ht="15.75" customHeight="1"/>
    <row r="72" spans="1:12" ht="15.75" customHeight="1"/>
    <row r="73" spans="1:12" ht="15.75" customHeight="1"/>
    <row r="74" spans="1:12" ht="15.75" customHeight="1"/>
    <row r="75" spans="1:12" ht="15.75" customHeight="1"/>
    <row r="76" spans="1:12" ht="15.75" customHeight="1"/>
    <row r="77" spans="1:12" ht="15.75" customHeight="1"/>
    <row r="78" spans="1:12" ht="15.75" customHeight="1"/>
    <row r="79" spans="1:12" ht="15.75" customHeight="1"/>
    <row r="80" spans="1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2:L2"/>
  </mergeCell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  <outlinePr summaryBelow="0" summaryRight="0"/>
  </sheetPr>
  <dimension ref="A1:Z1000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41.28515625" customWidth="1"/>
    <col min="2" max="2" width="13.7109375" customWidth="1"/>
    <col min="3" max="3" width="2.140625" customWidth="1"/>
    <col min="4" max="4" width="13.7109375" customWidth="1"/>
    <col min="5" max="5" width="2.42578125" customWidth="1"/>
    <col min="6" max="6" width="13.7109375" customWidth="1"/>
    <col min="7" max="7" width="2.42578125" customWidth="1"/>
    <col min="8" max="8" width="13.7109375" customWidth="1"/>
    <col min="9" max="9" width="2.42578125" customWidth="1"/>
    <col min="10" max="10" width="13.7109375" customWidth="1"/>
    <col min="11" max="11" width="2.85546875" customWidth="1"/>
    <col min="12" max="12" width="13.7109375" customWidth="1"/>
    <col min="13" max="13" width="2" customWidth="1"/>
    <col min="14" max="14" width="9.42578125" hidden="1" customWidth="1"/>
    <col min="15" max="15" width="18.42578125" hidden="1" customWidth="1"/>
    <col min="16" max="16" width="12.140625" hidden="1" customWidth="1"/>
    <col min="17" max="17" width="0.140625" customWidth="1"/>
    <col min="18" max="26" width="17.28515625" customWidth="1"/>
  </cols>
  <sheetData>
    <row r="1" spans="1:26" ht="15.75" customHeight="1">
      <c r="A1" s="443" t="s">
        <v>224</v>
      </c>
      <c r="B1" s="1"/>
      <c r="C1" s="1"/>
      <c r="D1" s="401"/>
      <c r="E1" s="401"/>
      <c r="F1" s="401"/>
      <c r="G1" s="401"/>
      <c r="H1" s="401"/>
      <c r="I1" s="401"/>
      <c r="J1" s="509"/>
      <c r="K1" s="401"/>
      <c r="L1" s="401"/>
      <c r="M1" s="510"/>
      <c r="N1" s="442"/>
      <c r="O1" s="442"/>
      <c r="P1" s="442"/>
      <c r="Q1" s="1"/>
    </row>
    <row r="2" spans="1:26" ht="15.7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8"/>
      <c r="N2" s="511"/>
      <c r="O2" s="707" t="s">
        <v>225</v>
      </c>
      <c r="P2" s="706"/>
      <c r="Q2" s="2"/>
    </row>
    <row r="3" spans="1:26" ht="33" customHeight="1">
      <c r="A3" s="192"/>
      <c r="B3" s="512" t="s">
        <v>79</v>
      </c>
      <c r="C3" s="457" t="s">
        <v>165</v>
      </c>
      <c r="D3" s="513" t="s">
        <v>226</v>
      </c>
      <c r="E3" s="514" t="s">
        <v>9</v>
      </c>
      <c r="F3" s="513" t="s">
        <v>227</v>
      </c>
      <c r="G3" s="514" t="s">
        <v>228</v>
      </c>
      <c r="H3" s="513" t="s">
        <v>229</v>
      </c>
      <c r="I3" s="514" t="s">
        <v>228</v>
      </c>
      <c r="J3" s="515" t="s">
        <v>230</v>
      </c>
      <c r="K3" s="513" t="s">
        <v>2</v>
      </c>
      <c r="L3" s="516" t="s">
        <v>231</v>
      </c>
      <c r="M3" s="8"/>
      <c r="N3" s="517" t="s">
        <v>232</v>
      </c>
      <c r="O3" s="518" t="s">
        <v>233</v>
      </c>
      <c r="P3" s="519" t="s">
        <v>234</v>
      </c>
      <c r="Q3" s="2"/>
    </row>
    <row r="4" spans="1:26" ht="15.75" customHeight="1">
      <c r="A4" s="451" t="s">
        <v>16</v>
      </c>
      <c r="B4" s="520" t="s">
        <v>79</v>
      </c>
      <c r="C4" s="521"/>
      <c r="D4" s="522"/>
      <c r="E4" s="523"/>
      <c r="F4" s="524"/>
      <c r="G4" s="525"/>
      <c r="H4" s="522"/>
      <c r="I4" s="522"/>
      <c r="J4" s="526"/>
      <c r="K4" s="525"/>
      <c r="L4" s="527"/>
      <c r="M4" s="528"/>
      <c r="N4" s="529"/>
      <c r="O4" s="530" t="str">
        <f t="shared" ref="O4:O32" si="0">A4</f>
        <v>Residential</v>
      </c>
      <c r="P4" s="531"/>
      <c r="Q4" s="414"/>
      <c r="R4" s="415"/>
      <c r="S4" s="415"/>
      <c r="T4" s="415"/>
      <c r="U4" s="415"/>
      <c r="V4" s="415"/>
      <c r="W4" s="415"/>
      <c r="X4" s="415"/>
      <c r="Y4" s="415"/>
      <c r="Z4" s="415"/>
    </row>
    <row r="5" spans="1:26" ht="15.75" customHeight="1">
      <c r="A5" s="416" t="s">
        <v>170</v>
      </c>
      <c r="B5" s="448">
        <f>Costs!B5</f>
        <v>0</v>
      </c>
      <c r="C5" s="447"/>
      <c r="D5" s="423">
        <f>ROUND(Costs!C5*Value!$P$5,-3)</f>
        <v>35000</v>
      </c>
      <c r="E5" s="423"/>
      <c r="F5" s="532">
        <f t="shared" ref="F5:F11" si="1">B5*D5</f>
        <v>0</v>
      </c>
      <c r="G5" s="423"/>
      <c r="H5" s="423">
        <f>Costs!E5-Costs!I5</f>
        <v>0</v>
      </c>
      <c r="I5" s="423"/>
      <c r="J5" s="533">
        <f t="shared" ref="J5:J9" si="2">((F5-H5)-L5)*(-1)</f>
        <v>0</v>
      </c>
      <c r="K5" s="534"/>
      <c r="L5" s="535">
        <f>(F5-H5)*(1-Market!K5)</f>
        <v>0</v>
      </c>
      <c r="M5" s="536"/>
      <c r="N5" s="529" t="e">
        <f t="shared" ref="N5:N11" si="3">L5/B5</f>
        <v>#DIV/0!</v>
      </c>
      <c r="O5" s="530" t="str">
        <f t="shared" si="0"/>
        <v xml:space="preserve"> - Affordable Podium Apartments </v>
      </c>
      <c r="P5" s="531">
        <v>0.4</v>
      </c>
      <c r="Q5" s="414"/>
      <c r="R5" s="415"/>
      <c r="S5" s="415"/>
      <c r="T5" s="415"/>
      <c r="U5" s="415"/>
      <c r="V5" s="415"/>
      <c r="W5" s="415"/>
      <c r="X5" s="415"/>
      <c r="Y5" s="415"/>
      <c r="Z5" s="415"/>
    </row>
    <row r="6" spans="1:26" ht="15.75" customHeight="1">
      <c r="A6" s="416" t="s">
        <v>171</v>
      </c>
      <c r="B6" s="448">
        <f>Costs!B6</f>
        <v>220</v>
      </c>
      <c r="C6" s="447"/>
      <c r="D6" s="423">
        <f>ROUND(Costs!C6*Value!$P$6,-3)</f>
        <v>111000</v>
      </c>
      <c r="E6" s="423"/>
      <c r="F6" s="532">
        <f t="shared" si="1"/>
        <v>24420000</v>
      </c>
      <c r="G6" s="423"/>
      <c r="H6" s="423">
        <f>Costs!E6-Costs!I6</f>
        <v>18480000</v>
      </c>
      <c r="I6" s="423"/>
      <c r="J6" s="533">
        <f t="shared" si="2"/>
        <v>0</v>
      </c>
      <c r="K6" s="534"/>
      <c r="L6" s="535">
        <f>(F6-H6)*(1-Market!K6)</f>
        <v>5940000</v>
      </c>
      <c r="M6" s="536"/>
      <c r="N6" s="529">
        <f t="shared" si="3"/>
        <v>27000</v>
      </c>
      <c r="O6" s="530" t="str">
        <f t="shared" si="0"/>
        <v xml:space="preserve"> - Market-Rate Podium Apartments </v>
      </c>
      <c r="P6" s="531">
        <v>1.32</v>
      </c>
      <c r="Q6" s="414"/>
      <c r="R6" s="415"/>
      <c r="S6" s="415"/>
      <c r="T6" s="415"/>
      <c r="U6" s="415"/>
      <c r="V6" s="415"/>
      <c r="W6" s="415"/>
      <c r="X6" s="415"/>
      <c r="Y6" s="415"/>
      <c r="Z6" s="415"/>
    </row>
    <row r="7" spans="1:26" ht="15.75" customHeight="1">
      <c r="A7" s="416" t="s">
        <v>172</v>
      </c>
      <c r="B7" s="448">
        <f>Costs!B7</f>
        <v>0</v>
      </c>
      <c r="C7" s="447"/>
      <c r="D7" s="423">
        <f>ROUND(Costs!C7*Value!$P$7,-3)</f>
        <v>68000</v>
      </c>
      <c r="E7" s="423"/>
      <c r="F7" s="532">
        <f t="shared" si="1"/>
        <v>0</v>
      </c>
      <c r="G7" s="423"/>
      <c r="H7" s="423">
        <f>Costs!E7-Costs!I7</f>
        <v>0</v>
      </c>
      <c r="I7" s="423"/>
      <c r="J7" s="533">
        <f t="shared" si="2"/>
        <v>0</v>
      </c>
      <c r="K7" s="534"/>
      <c r="L7" s="535">
        <f>(F7-H7)*(1-Market!K7)</f>
        <v>0</v>
      </c>
      <c r="M7" s="536"/>
      <c r="N7" s="529" t="e">
        <f t="shared" si="3"/>
        <v>#DIV/0!</v>
      </c>
      <c r="O7" s="530" t="str">
        <f t="shared" si="0"/>
        <v xml:space="preserve"> - Affordable Townhouses</v>
      </c>
      <c r="P7" s="531">
        <f>P5</f>
        <v>0.4</v>
      </c>
      <c r="Q7" s="414"/>
      <c r="R7" s="415"/>
      <c r="S7" s="415"/>
      <c r="T7" s="415"/>
      <c r="U7" s="415"/>
      <c r="V7" s="415"/>
      <c r="W7" s="415"/>
      <c r="X7" s="415"/>
      <c r="Y7" s="415"/>
      <c r="Z7" s="415"/>
    </row>
    <row r="8" spans="1:26" ht="15.75" customHeight="1">
      <c r="A8" s="416" t="s">
        <v>173</v>
      </c>
      <c r="B8" s="448">
        <f>Costs!B8</f>
        <v>0</v>
      </c>
      <c r="C8" s="447"/>
      <c r="D8" s="423">
        <f>ROUND(Costs!C8*Value!$P$8,-3)</f>
        <v>212000</v>
      </c>
      <c r="E8" s="423"/>
      <c r="F8" s="532">
        <f t="shared" si="1"/>
        <v>0</v>
      </c>
      <c r="G8" s="423"/>
      <c r="H8" s="423">
        <f>Costs!E8-Costs!I8</f>
        <v>0</v>
      </c>
      <c r="I8" s="423"/>
      <c r="J8" s="533">
        <f t="shared" si="2"/>
        <v>0</v>
      </c>
      <c r="K8" s="534"/>
      <c r="L8" s="535">
        <f>(F8-H8)*(1-Market!K8)</f>
        <v>0</v>
      </c>
      <c r="M8" s="536"/>
      <c r="N8" s="529" t="e">
        <f t="shared" si="3"/>
        <v>#DIV/0!</v>
      </c>
      <c r="O8" s="530" t="str">
        <f t="shared" si="0"/>
        <v xml:space="preserve"> - Market-Rate Townhouses</v>
      </c>
      <c r="P8" s="531">
        <v>1.3</v>
      </c>
      <c r="Q8" s="414"/>
      <c r="R8" s="415"/>
      <c r="S8" s="415"/>
      <c r="T8" s="415"/>
      <c r="U8" s="415"/>
      <c r="V8" s="415"/>
      <c r="W8" s="415"/>
      <c r="X8" s="415"/>
      <c r="Y8" s="415"/>
      <c r="Z8" s="415"/>
    </row>
    <row r="9" spans="1:26" ht="15.75" customHeight="1">
      <c r="A9" s="416" t="s">
        <v>19</v>
      </c>
      <c r="B9" s="448">
        <f>Costs!B9</f>
        <v>48</v>
      </c>
      <c r="C9" s="447"/>
      <c r="D9" s="423">
        <f>ROUND(Costs!C9*Value!$P$9,-3)</f>
        <v>270000</v>
      </c>
      <c r="E9" s="537"/>
      <c r="F9" s="538">
        <f t="shared" si="1"/>
        <v>12960000</v>
      </c>
      <c r="G9" s="537"/>
      <c r="H9" s="537">
        <f>Costs!E9-Costs!I9</f>
        <v>9216000</v>
      </c>
      <c r="I9" s="537"/>
      <c r="J9" s="539">
        <f t="shared" si="2"/>
        <v>0</v>
      </c>
      <c r="K9" s="540"/>
      <c r="L9" s="541">
        <f>(F9-H9)*(1-Market!K9)</f>
        <v>3744000</v>
      </c>
      <c r="M9" s="536"/>
      <c r="N9" s="529">
        <f t="shared" si="3"/>
        <v>78000</v>
      </c>
      <c r="O9" s="530" t="str">
        <f t="shared" si="0"/>
        <v xml:space="preserve"> - Luxury High Rise Condos</v>
      </c>
      <c r="P9" s="531">
        <v>1.407</v>
      </c>
      <c r="Q9" s="414"/>
      <c r="R9" s="415"/>
      <c r="S9" s="415"/>
      <c r="T9" s="415"/>
      <c r="U9" s="415"/>
      <c r="V9" s="415"/>
      <c r="W9" s="415"/>
      <c r="X9" s="415"/>
      <c r="Y9" s="415"/>
      <c r="Z9" s="415"/>
    </row>
    <row r="10" spans="1:26" ht="15.75" customHeight="1">
      <c r="A10" s="416" t="s">
        <v>174</v>
      </c>
      <c r="B10" s="448">
        <f>Costs!B10</f>
        <v>120</v>
      </c>
      <c r="C10" s="447"/>
      <c r="D10" s="423">
        <v>1000</v>
      </c>
      <c r="E10" s="537"/>
      <c r="F10" s="538">
        <f t="shared" si="1"/>
        <v>120000</v>
      </c>
      <c r="G10" s="537"/>
      <c r="H10" s="537">
        <f>Costs!E10-Costs!I10</f>
        <v>0</v>
      </c>
      <c r="I10" s="537"/>
      <c r="J10" s="542" t="s">
        <v>235</v>
      </c>
      <c r="K10" s="540"/>
      <c r="L10" s="541">
        <f t="shared" ref="L10:L11" si="4">B10*D10</f>
        <v>120000</v>
      </c>
      <c r="M10" s="536"/>
      <c r="N10" s="529">
        <f t="shared" si="3"/>
        <v>1000</v>
      </c>
      <c r="O10" s="530" t="str">
        <f t="shared" si="0"/>
        <v xml:space="preserve"> - Phoenix Hotel/Homeless Shelter</v>
      </c>
      <c r="P10" s="543" t="s">
        <v>235</v>
      </c>
      <c r="Q10" s="414"/>
      <c r="R10" s="415"/>
      <c r="S10" s="415"/>
      <c r="T10" s="415"/>
      <c r="U10" s="415"/>
      <c r="V10" s="415"/>
      <c r="W10" s="415"/>
      <c r="X10" s="415"/>
      <c r="Y10" s="415"/>
      <c r="Z10" s="415"/>
    </row>
    <row r="11" spans="1:26" ht="15.75" customHeight="1">
      <c r="A11" s="416" t="s">
        <v>175</v>
      </c>
      <c r="B11" s="448">
        <f>Costs!B11</f>
        <v>120</v>
      </c>
      <c r="C11" s="447"/>
      <c r="D11" s="423">
        <v>1000</v>
      </c>
      <c r="E11" s="537"/>
      <c r="F11" s="538">
        <f t="shared" si="1"/>
        <v>120000</v>
      </c>
      <c r="G11" s="537"/>
      <c r="H11" s="537">
        <f>Costs!E11-Costs!I11</f>
        <v>0</v>
      </c>
      <c r="I11" s="537"/>
      <c r="J11" s="542" t="s">
        <v>235</v>
      </c>
      <c r="K11" s="540"/>
      <c r="L11" s="541">
        <f t="shared" si="4"/>
        <v>120000</v>
      </c>
      <c r="M11" s="536"/>
      <c r="N11" s="529">
        <f t="shared" si="3"/>
        <v>1000</v>
      </c>
      <c r="O11" s="530" t="str">
        <f t="shared" si="0"/>
        <v xml:space="preserve"> - New Homeless Shelter</v>
      </c>
      <c r="P11" s="543" t="s">
        <v>235</v>
      </c>
      <c r="Q11" s="414"/>
      <c r="R11" s="415"/>
      <c r="S11" s="415"/>
      <c r="T11" s="415"/>
      <c r="U11" s="415"/>
      <c r="V11" s="415"/>
      <c r="W11" s="415"/>
      <c r="X11" s="415"/>
      <c r="Y11" s="415"/>
      <c r="Z11" s="415"/>
    </row>
    <row r="12" spans="1:26" ht="15.75" customHeight="1">
      <c r="A12" s="451" t="s">
        <v>21</v>
      </c>
      <c r="B12" s="544" t="s">
        <v>87</v>
      </c>
      <c r="C12" s="545"/>
      <c r="D12" s="522"/>
      <c r="E12" s="522"/>
      <c r="F12" s="524"/>
      <c r="G12" s="522"/>
      <c r="H12" s="522"/>
      <c r="I12" s="522"/>
      <c r="J12" s="546"/>
      <c r="K12" s="547"/>
      <c r="L12" s="548"/>
      <c r="M12" s="536"/>
      <c r="N12" s="529"/>
      <c r="O12" s="530" t="str">
        <f t="shared" si="0"/>
        <v>Office</v>
      </c>
      <c r="P12" s="531"/>
      <c r="Q12" s="414"/>
      <c r="R12" s="415"/>
      <c r="S12" s="415"/>
      <c r="T12" s="415"/>
      <c r="U12" s="415"/>
      <c r="V12" s="415"/>
      <c r="W12" s="415"/>
      <c r="X12" s="415"/>
      <c r="Y12" s="415"/>
      <c r="Z12" s="415"/>
    </row>
    <row r="13" spans="1:26" ht="15.75" customHeight="1">
      <c r="A13" s="416" t="s">
        <v>177</v>
      </c>
      <c r="B13" s="448">
        <f>Costs!B13</f>
        <v>0</v>
      </c>
      <c r="C13" s="447"/>
      <c r="D13" s="423">
        <f>Costs!C13*Value!$P$13</f>
        <v>120</v>
      </c>
      <c r="E13" s="537"/>
      <c r="F13" s="538">
        <f t="shared" ref="F13:F17" si="5">ROUND(B13*D13,-3)</f>
        <v>0</v>
      </c>
      <c r="G13" s="537"/>
      <c r="H13" s="537">
        <f>Costs!E13</f>
        <v>0</v>
      </c>
      <c r="I13" s="537"/>
      <c r="J13" s="539" t="s">
        <v>236</v>
      </c>
      <c r="K13" s="540"/>
      <c r="L13" s="541">
        <f t="shared" ref="L13:L15" si="6">F13-H13</f>
        <v>0</v>
      </c>
      <c r="M13" s="536"/>
      <c r="N13" s="529" t="e">
        <f t="shared" ref="N13:N17" si="7">L13/B13</f>
        <v>#DIV/0!</v>
      </c>
      <c r="O13" s="530" t="str">
        <f t="shared" si="0"/>
        <v xml:space="preserve"> - Office: Phoenix Hotel</v>
      </c>
      <c r="P13" s="531">
        <v>1.2</v>
      </c>
      <c r="Q13" s="549"/>
      <c r="R13" s="415"/>
      <c r="S13" s="415"/>
      <c r="T13" s="415"/>
      <c r="U13" s="415"/>
      <c r="V13" s="415"/>
      <c r="W13" s="415"/>
      <c r="X13" s="415"/>
      <c r="Y13" s="415"/>
      <c r="Z13" s="415"/>
    </row>
    <row r="14" spans="1:26" ht="15.75" customHeight="1">
      <c r="A14" s="416" t="s">
        <v>178</v>
      </c>
      <c r="B14" s="448">
        <f>Costs!B14</f>
        <v>16500</v>
      </c>
      <c r="C14" s="447"/>
      <c r="D14" s="423">
        <f>Costs!C14*Value!$P$14</f>
        <v>118</v>
      </c>
      <c r="E14" s="537"/>
      <c r="F14" s="538">
        <f t="shared" si="5"/>
        <v>1947000</v>
      </c>
      <c r="G14" s="537"/>
      <c r="H14" s="537">
        <f>Costs!E14-Costs!I14</f>
        <v>1650000</v>
      </c>
      <c r="I14" s="537"/>
      <c r="J14" s="539" t="s">
        <v>236</v>
      </c>
      <c r="K14" s="540"/>
      <c r="L14" s="541">
        <f t="shared" si="6"/>
        <v>297000</v>
      </c>
      <c r="M14" s="536"/>
      <c r="N14" s="529">
        <f t="shared" si="7"/>
        <v>18</v>
      </c>
      <c r="O14" s="530" t="str">
        <f t="shared" si="0"/>
        <v xml:space="preserve"> - Office: York Dry Goods</v>
      </c>
      <c r="P14" s="531">
        <v>1.18</v>
      </c>
      <c r="Q14" s="549"/>
      <c r="R14" s="415"/>
      <c r="S14" s="415"/>
      <c r="T14" s="415"/>
      <c r="U14" s="415"/>
      <c r="V14" s="415"/>
      <c r="W14" s="415"/>
      <c r="X14" s="415"/>
      <c r="Y14" s="415"/>
      <c r="Z14" s="415"/>
    </row>
    <row r="15" spans="1:26" ht="15.75" customHeight="1">
      <c r="A15" s="416" t="s">
        <v>179</v>
      </c>
      <c r="B15" s="448">
        <f>Costs!B15</f>
        <v>42000</v>
      </c>
      <c r="C15" s="447"/>
      <c r="D15" s="423">
        <f>Costs!C15*Value!$P$15</f>
        <v>118</v>
      </c>
      <c r="E15" s="537"/>
      <c r="F15" s="538">
        <f t="shared" si="5"/>
        <v>4956000</v>
      </c>
      <c r="G15" s="537"/>
      <c r="H15" s="537">
        <f>Costs!E15-Costs!I15</f>
        <v>4200000</v>
      </c>
      <c r="I15" s="537"/>
      <c r="J15" s="539" t="s">
        <v>236</v>
      </c>
      <c r="K15" s="540"/>
      <c r="L15" s="541">
        <f t="shared" si="6"/>
        <v>756000</v>
      </c>
      <c r="M15" s="536"/>
      <c r="N15" s="529">
        <f t="shared" si="7"/>
        <v>18</v>
      </c>
      <c r="O15" s="530" t="str">
        <f t="shared" si="0"/>
        <v xml:space="preserve"> - Office: Victorian Row</v>
      </c>
      <c r="P15" s="531">
        <v>1.18</v>
      </c>
      <c r="Q15" s="549"/>
      <c r="R15" s="415"/>
      <c r="S15" s="415"/>
      <c r="T15" s="415"/>
      <c r="U15" s="415"/>
      <c r="V15" s="415"/>
      <c r="W15" s="415"/>
      <c r="X15" s="415"/>
      <c r="Y15" s="415"/>
      <c r="Z15" s="415"/>
    </row>
    <row r="16" spans="1:26" ht="15.75" customHeight="1">
      <c r="A16" s="416" t="s">
        <v>180</v>
      </c>
      <c r="B16" s="448">
        <f>Costs!B16</f>
        <v>180000</v>
      </c>
      <c r="C16" s="447"/>
      <c r="D16" s="423">
        <f>Costs!C16*Value!$P$16</f>
        <v>163.125</v>
      </c>
      <c r="E16" s="537"/>
      <c r="F16" s="538">
        <f t="shared" si="5"/>
        <v>29363000</v>
      </c>
      <c r="G16" s="537"/>
      <c r="H16" s="537">
        <f>Costs!E16-Costs!I16</f>
        <v>22500000</v>
      </c>
      <c r="I16" s="537"/>
      <c r="J16" s="539">
        <f t="shared" ref="J16:J17" si="8">((F16-H16)-L16)*(-1)</f>
        <v>0</v>
      </c>
      <c r="K16" s="540"/>
      <c r="L16" s="541">
        <f>(F16-H16)*(1-Market!K16)</f>
        <v>6863000</v>
      </c>
      <c r="M16" s="536"/>
      <c r="N16" s="529">
        <f t="shared" si="7"/>
        <v>38.12777777777778</v>
      </c>
      <c r="O16" s="530" t="str">
        <f t="shared" si="0"/>
        <v xml:space="preserve"> - Low-Rise Office Building</v>
      </c>
      <c r="P16" s="531">
        <v>1.3049999999999999</v>
      </c>
      <c r="Q16" s="414"/>
      <c r="R16" s="415"/>
      <c r="S16" s="415"/>
      <c r="T16" s="415"/>
      <c r="U16" s="415"/>
      <c r="V16" s="415"/>
      <c r="W16" s="415"/>
      <c r="X16" s="415"/>
      <c r="Y16" s="415"/>
      <c r="Z16" s="415"/>
    </row>
    <row r="17" spans="1:26" ht="15.75" customHeight="1">
      <c r="A17" s="416" t="s">
        <v>25</v>
      </c>
      <c r="B17" s="448">
        <f>Costs!B17</f>
        <v>240000</v>
      </c>
      <c r="C17" s="447"/>
      <c r="D17" s="423">
        <f>Costs!C17*Value!P17</f>
        <v>242.35000000000002</v>
      </c>
      <c r="E17" s="537"/>
      <c r="F17" s="538">
        <f t="shared" si="5"/>
        <v>58164000</v>
      </c>
      <c r="G17" s="537"/>
      <c r="H17" s="537">
        <f>Costs!E17-Costs!I17</f>
        <v>44400000</v>
      </c>
      <c r="I17" s="537"/>
      <c r="J17" s="539">
        <f t="shared" si="8"/>
        <v>-8228478.2608695636</v>
      </c>
      <c r="K17" s="540"/>
      <c r="L17" s="541">
        <f>(F17-H17)*(1-Market!K17)</f>
        <v>5535521.7391304364</v>
      </c>
      <c r="M17" s="536"/>
      <c r="N17" s="529">
        <f t="shared" si="7"/>
        <v>23.064673913043485</v>
      </c>
      <c r="O17" s="530" t="str">
        <f t="shared" si="0"/>
        <v xml:space="preserve"> - Mid-Rise Office Building</v>
      </c>
      <c r="P17" s="531">
        <v>1.31</v>
      </c>
      <c r="Q17" s="549"/>
      <c r="R17" s="415"/>
      <c r="S17" s="415"/>
      <c r="T17" s="415"/>
      <c r="U17" s="415"/>
      <c r="V17" s="415"/>
      <c r="W17" s="415"/>
      <c r="X17" s="415"/>
      <c r="Y17" s="415"/>
      <c r="Z17" s="415"/>
    </row>
    <row r="18" spans="1:26" ht="15.75" customHeight="1">
      <c r="A18" s="451" t="s">
        <v>26</v>
      </c>
      <c r="B18" s="544" t="str">
        <f>Costs!B18</f>
        <v>Building SF</v>
      </c>
      <c r="C18" s="545"/>
      <c r="D18" s="522"/>
      <c r="E18" s="522"/>
      <c r="F18" s="524"/>
      <c r="G18" s="522"/>
      <c r="H18" s="522"/>
      <c r="I18" s="522"/>
      <c r="J18" s="546"/>
      <c r="K18" s="547"/>
      <c r="L18" s="548"/>
      <c r="M18" s="536"/>
      <c r="N18" s="529"/>
      <c r="O18" s="530" t="str">
        <f t="shared" si="0"/>
        <v>Retail</v>
      </c>
      <c r="P18" s="531"/>
      <c r="Q18" s="549"/>
      <c r="R18" s="415"/>
      <c r="S18" s="415"/>
      <c r="T18" s="415"/>
      <c r="U18" s="415"/>
      <c r="V18" s="415"/>
      <c r="W18" s="415"/>
      <c r="X18" s="415"/>
      <c r="Y18" s="415"/>
      <c r="Z18" s="415"/>
    </row>
    <row r="19" spans="1:26" ht="15.75" customHeight="1">
      <c r="A19" s="416" t="s">
        <v>181</v>
      </c>
      <c r="B19" s="448">
        <f>Costs!B19</f>
        <v>0</v>
      </c>
      <c r="C19" s="447"/>
      <c r="D19" s="423">
        <f>Costs!C19*Value!$P$19</f>
        <v>130</v>
      </c>
      <c r="E19" s="537"/>
      <c r="F19" s="538">
        <f t="shared" ref="F19:F24" si="9">ROUND(B19*D19,-3)</f>
        <v>0</v>
      </c>
      <c r="G19" s="537"/>
      <c r="H19" s="537">
        <f>Costs!E19-Costs!I19</f>
        <v>0</v>
      </c>
      <c r="I19" s="537"/>
      <c r="J19" s="539" t="s">
        <v>237</v>
      </c>
      <c r="K19" s="540"/>
      <c r="L19" s="541">
        <f>(F19-H19)*(1-Market!K20)</f>
        <v>0</v>
      </c>
      <c r="M19" s="536"/>
      <c r="N19" s="529"/>
      <c r="O19" s="530" t="str">
        <f t="shared" si="0"/>
        <v xml:space="preserve"> - Retail: Phoenix Hotel</v>
      </c>
      <c r="P19" s="531">
        <v>1.3</v>
      </c>
      <c r="Q19" s="414"/>
      <c r="R19" s="415"/>
      <c r="S19" s="415"/>
      <c r="T19" s="415"/>
      <c r="U19" s="415"/>
      <c r="V19" s="415"/>
      <c r="W19" s="415"/>
      <c r="X19" s="415"/>
      <c r="Y19" s="415"/>
      <c r="Z19" s="415"/>
    </row>
    <row r="20" spans="1:26" ht="15.75" customHeight="1">
      <c r="A20" s="416" t="s">
        <v>182</v>
      </c>
      <c r="B20" s="448">
        <f>Costs!B20</f>
        <v>12000</v>
      </c>
      <c r="C20" s="447"/>
      <c r="D20" s="423">
        <f>Costs!C20*Value!$P$20</f>
        <v>125</v>
      </c>
      <c r="E20" s="537"/>
      <c r="F20" s="538">
        <f t="shared" si="9"/>
        <v>1500000</v>
      </c>
      <c r="G20" s="537"/>
      <c r="H20" s="537">
        <f>Costs!E20-Costs!I20</f>
        <v>1200000</v>
      </c>
      <c r="I20" s="537"/>
      <c r="J20" s="539" t="s">
        <v>237</v>
      </c>
      <c r="K20" s="540"/>
      <c r="L20" s="541">
        <f t="shared" ref="L20:L21" si="10">F20-H20</f>
        <v>300000</v>
      </c>
      <c r="M20" s="536"/>
      <c r="N20" s="529">
        <f t="shared" ref="N20:N24" si="11">L20/B20</f>
        <v>25</v>
      </c>
      <c r="O20" s="530" t="str">
        <f t="shared" si="0"/>
        <v xml:space="preserve"> - Retail: York Dry Goods</v>
      </c>
      <c r="P20" s="531">
        <v>1.25</v>
      </c>
      <c r="Q20" s="414"/>
      <c r="R20" s="415"/>
      <c r="S20" s="415"/>
      <c r="T20" s="415"/>
      <c r="U20" s="415"/>
      <c r="V20" s="415"/>
      <c r="W20" s="415"/>
      <c r="X20" s="415"/>
      <c r="Y20" s="415"/>
      <c r="Z20" s="415"/>
    </row>
    <row r="21" spans="1:26" ht="15.75" customHeight="1">
      <c r="A21" s="416" t="s">
        <v>183</v>
      </c>
      <c r="B21" s="448">
        <f>Costs!B21</f>
        <v>18000</v>
      </c>
      <c r="C21" s="447"/>
      <c r="D21" s="423">
        <f>Costs!C21*Value!$P$21</f>
        <v>125</v>
      </c>
      <c r="E21" s="537"/>
      <c r="F21" s="538">
        <f t="shared" si="9"/>
        <v>2250000</v>
      </c>
      <c r="G21" s="537"/>
      <c r="H21" s="537">
        <f>Costs!E21-Costs!I21</f>
        <v>1800000</v>
      </c>
      <c r="I21" s="537"/>
      <c r="J21" s="539" t="s">
        <v>237</v>
      </c>
      <c r="K21" s="540"/>
      <c r="L21" s="541">
        <f t="shared" si="10"/>
        <v>450000</v>
      </c>
      <c r="M21" s="536"/>
      <c r="N21" s="529">
        <f t="shared" si="11"/>
        <v>25</v>
      </c>
      <c r="O21" s="530" t="str">
        <f t="shared" si="0"/>
        <v xml:space="preserve"> - Retail: Victorian Row</v>
      </c>
      <c r="P21" s="531">
        <v>1.25</v>
      </c>
      <c r="Q21" s="414"/>
      <c r="R21" s="415"/>
      <c r="S21" s="415"/>
      <c r="T21" s="415"/>
      <c r="U21" s="415"/>
      <c r="V21" s="415"/>
      <c r="W21" s="415"/>
      <c r="X21" s="415"/>
      <c r="Y21" s="415"/>
      <c r="Z21" s="415"/>
    </row>
    <row r="22" spans="1:26" ht="15.75" customHeight="1">
      <c r="A22" s="416" t="s">
        <v>27</v>
      </c>
      <c r="B22" s="448">
        <f>Costs!B22</f>
        <v>25000</v>
      </c>
      <c r="C22" s="447"/>
      <c r="D22" s="423">
        <f>Costs!C22*Value!$P$22</f>
        <v>130</v>
      </c>
      <c r="E22" s="537"/>
      <c r="F22" s="538">
        <f t="shared" si="9"/>
        <v>3250000</v>
      </c>
      <c r="G22" s="537"/>
      <c r="H22" s="537">
        <f>Costs!E22-Costs!I22</f>
        <v>2500000</v>
      </c>
      <c r="I22" s="537"/>
      <c r="J22" s="539">
        <f t="shared" ref="J22:J24" si="12">((F22-H22)-L22)*(-1)</f>
        <v>-153061.22448979586</v>
      </c>
      <c r="K22" s="540"/>
      <c r="L22" s="541">
        <f>(F22-H22)*(1-Market!K22)</f>
        <v>596938.77551020414</v>
      </c>
      <c r="M22" s="536"/>
      <c r="N22" s="529">
        <f t="shared" si="11"/>
        <v>23.877551020408166</v>
      </c>
      <c r="O22" s="530" t="str">
        <f t="shared" si="0"/>
        <v xml:space="preserve"> - Neighborhood Retail</v>
      </c>
      <c r="P22" s="531">
        <v>1.3</v>
      </c>
      <c r="Q22" s="414"/>
      <c r="R22" s="415"/>
      <c r="S22" s="415"/>
      <c r="T22" s="415"/>
      <c r="U22" s="415"/>
      <c r="V22" s="415"/>
      <c r="W22" s="415"/>
      <c r="X22" s="415"/>
      <c r="Y22" s="415"/>
      <c r="Z22" s="415"/>
    </row>
    <row r="23" spans="1:26" ht="15.75" customHeight="1">
      <c r="A23" s="416" t="s">
        <v>201</v>
      </c>
      <c r="B23" s="448">
        <f>Costs!B23</f>
        <v>40000</v>
      </c>
      <c r="C23" s="447"/>
      <c r="D23" s="423">
        <f>Costs!C23*Value!$P$23</f>
        <v>149.5</v>
      </c>
      <c r="E23" s="537"/>
      <c r="F23" s="538">
        <f t="shared" si="9"/>
        <v>5980000</v>
      </c>
      <c r="G23" s="537"/>
      <c r="H23" s="537">
        <f>Costs!E23-Costs!I23</f>
        <v>4600000</v>
      </c>
      <c r="I23" s="537"/>
      <c r="J23" s="539">
        <f t="shared" si="12"/>
        <v>0</v>
      </c>
      <c r="K23" s="540"/>
      <c r="L23" s="541">
        <f>(F23-H23)*(1-Market!K23)</f>
        <v>1380000</v>
      </c>
      <c r="M23" s="536"/>
      <c r="N23" s="529">
        <f t="shared" si="11"/>
        <v>34.5</v>
      </c>
      <c r="O23" s="530" t="str">
        <f t="shared" si="0"/>
        <v xml:space="preserve"> - Supermarket </v>
      </c>
      <c r="P23" s="531">
        <v>1.3</v>
      </c>
      <c r="Q23" s="414"/>
      <c r="R23" s="415"/>
      <c r="S23" s="415"/>
      <c r="T23" s="415"/>
      <c r="U23" s="415"/>
      <c r="V23" s="415"/>
      <c r="W23" s="415"/>
      <c r="X23" s="415"/>
      <c r="Y23" s="415"/>
      <c r="Z23" s="415"/>
    </row>
    <row r="24" spans="1:26" ht="15.75" customHeight="1">
      <c r="A24" s="416" t="s">
        <v>96</v>
      </c>
      <c r="B24" s="448">
        <f>Costs!B24</f>
        <v>0</v>
      </c>
      <c r="C24" s="447"/>
      <c r="D24" s="423">
        <f>Costs!C24*Value!$P$24</f>
        <v>162.5</v>
      </c>
      <c r="E24" s="537"/>
      <c r="F24" s="538">
        <f t="shared" si="9"/>
        <v>0</v>
      </c>
      <c r="G24" s="537"/>
      <c r="H24" s="537">
        <f>Costs!E24-Costs!I24</f>
        <v>0</v>
      </c>
      <c r="I24" s="537"/>
      <c r="J24" s="539">
        <f t="shared" si="12"/>
        <v>0</v>
      </c>
      <c r="K24" s="540"/>
      <c r="L24" s="541">
        <f>(F24-H24)*(1-Market!K24)</f>
        <v>0</v>
      </c>
      <c r="M24" s="536"/>
      <c r="N24" s="529" t="e">
        <f t="shared" si="11"/>
        <v>#DIV/0!</v>
      </c>
      <c r="O24" s="530" t="str">
        <f t="shared" si="0"/>
        <v xml:space="preserve"> - Q-Mart</v>
      </c>
      <c r="P24" s="531">
        <v>1.3</v>
      </c>
      <c r="Q24" s="414"/>
      <c r="R24" s="415"/>
      <c r="S24" s="415"/>
      <c r="T24" s="415"/>
      <c r="U24" s="415"/>
      <c r="V24" s="415"/>
      <c r="W24" s="415"/>
      <c r="X24" s="415"/>
      <c r="Y24" s="415"/>
      <c r="Z24" s="415"/>
    </row>
    <row r="25" spans="1:26" ht="15.75" customHeight="1">
      <c r="A25" s="451" t="s">
        <v>184</v>
      </c>
      <c r="B25" s="544" t="str">
        <f>Costs!B25</f>
        <v>Building SF</v>
      </c>
      <c r="C25" s="545"/>
      <c r="D25" s="522"/>
      <c r="E25" s="522"/>
      <c r="F25" s="524"/>
      <c r="G25" s="522"/>
      <c r="H25" s="522"/>
      <c r="I25" s="522"/>
      <c r="J25" s="546"/>
      <c r="K25" s="547"/>
      <c r="L25" s="548"/>
      <c r="M25" s="536"/>
      <c r="N25" s="529"/>
      <c r="O25" s="530" t="str">
        <f t="shared" si="0"/>
        <v>Community Facilities</v>
      </c>
      <c r="P25" s="531"/>
      <c r="Q25" s="414"/>
      <c r="R25" s="415"/>
      <c r="S25" s="415"/>
      <c r="T25" s="415"/>
      <c r="U25" s="415"/>
      <c r="V25" s="415"/>
      <c r="W25" s="415"/>
      <c r="X25" s="415"/>
      <c r="Y25" s="415"/>
      <c r="Z25" s="415"/>
    </row>
    <row r="26" spans="1:26" ht="15.75" customHeight="1">
      <c r="A26" s="416" t="s">
        <v>186</v>
      </c>
      <c r="B26" s="448">
        <f>Costs!B26</f>
        <v>19500</v>
      </c>
      <c r="C26" s="447"/>
      <c r="D26" s="423">
        <f>Costs!C26*Value!$P$26</f>
        <v>70</v>
      </c>
      <c r="E26" s="537"/>
      <c r="F26" s="538">
        <f t="shared" ref="F26:F28" si="13">ROUND(B26*D26,-3)</f>
        <v>1365000</v>
      </c>
      <c r="G26" s="537"/>
      <c r="H26" s="537">
        <f>Costs!E26-Costs!I26</f>
        <v>1657000</v>
      </c>
      <c r="I26" s="537"/>
      <c r="J26" s="539"/>
      <c r="K26" s="540"/>
      <c r="L26" s="541">
        <f t="shared" ref="L26:L28" si="14">F26-H26</f>
        <v>-292000</v>
      </c>
      <c r="M26" s="536"/>
      <c r="N26" s="529">
        <f>L26/B26</f>
        <v>-14.974358974358974</v>
      </c>
      <c r="O26" s="530" t="str">
        <f t="shared" si="0"/>
        <v xml:space="preserve"> - York Dry Goods/Community Facilities</v>
      </c>
      <c r="P26" s="531">
        <v>0.7</v>
      </c>
      <c r="Q26" s="414"/>
      <c r="R26" s="415"/>
      <c r="S26" s="415"/>
      <c r="T26" s="415"/>
      <c r="U26" s="415"/>
      <c r="V26" s="415"/>
      <c r="W26" s="415"/>
      <c r="X26" s="415"/>
      <c r="Y26" s="415"/>
      <c r="Z26" s="415"/>
    </row>
    <row r="27" spans="1:26" ht="15.75" customHeight="1">
      <c r="A27" s="416" t="s">
        <v>221</v>
      </c>
      <c r="B27" s="448">
        <f>'Use Allocation'!D36+'Use Allocation'!D37</f>
        <v>0</v>
      </c>
      <c r="C27" s="447"/>
      <c r="D27" s="423">
        <f>Costs!C27*Value!$P$27</f>
        <v>0</v>
      </c>
      <c r="E27" s="537"/>
      <c r="F27" s="538">
        <f t="shared" si="13"/>
        <v>0</v>
      </c>
      <c r="G27" s="537"/>
      <c r="H27" s="537">
        <f>Costs!E27-Costs!I27</f>
        <v>0</v>
      </c>
      <c r="I27" s="537"/>
      <c r="J27" s="539"/>
      <c r="K27" s="540"/>
      <c r="L27" s="541">
        <f t="shared" si="14"/>
        <v>0</v>
      </c>
      <c r="M27" s="536"/>
      <c r="N27" s="529"/>
      <c r="O27" s="530" t="str">
        <f t="shared" si="0"/>
        <v xml:space="preserve"> - York Dry Goods/Univ. &amp; Artist Studio </v>
      </c>
      <c r="P27" s="531">
        <v>0</v>
      </c>
      <c r="Q27" s="414"/>
      <c r="R27" s="415"/>
      <c r="S27" s="415"/>
      <c r="T27" s="415"/>
      <c r="U27" s="415"/>
      <c r="V27" s="415"/>
      <c r="W27" s="415"/>
      <c r="X27" s="415"/>
      <c r="Y27" s="415"/>
      <c r="Z27" s="415"/>
    </row>
    <row r="28" spans="1:26" ht="15.75" customHeight="1">
      <c r="A28" s="416" t="s">
        <v>238</v>
      </c>
      <c r="B28" s="448">
        <f>Costs!B28</f>
        <v>0</v>
      </c>
      <c r="C28" s="447"/>
      <c r="D28" s="423">
        <f>Costs!C28*Value!$P$28</f>
        <v>0</v>
      </c>
      <c r="E28" s="537"/>
      <c r="F28" s="538">
        <f t="shared" si="13"/>
        <v>0</v>
      </c>
      <c r="G28" s="537"/>
      <c r="H28" s="537">
        <f>Costs!E28-Costs!I28</f>
        <v>0</v>
      </c>
      <c r="I28" s="537"/>
      <c r="J28" s="539"/>
      <c r="K28" s="540"/>
      <c r="L28" s="541">
        <f t="shared" si="14"/>
        <v>0</v>
      </c>
      <c r="M28" s="536"/>
      <c r="N28" s="529" t="e">
        <f>L28/B28</f>
        <v>#DIV/0!</v>
      </c>
      <c r="O28" s="530" t="str">
        <f t="shared" si="0"/>
        <v xml:space="preserve"> - Victorian Row: Univ. Offices and/or Artist Studios</v>
      </c>
      <c r="P28" s="531">
        <v>0</v>
      </c>
      <c r="Q28" s="414"/>
      <c r="R28" s="415"/>
      <c r="S28" s="415"/>
      <c r="T28" s="415"/>
      <c r="U28" s="415"/>
      <c r="V28" s="415"/>
      <c r="W28" s="415"/>
      <c r="X28" s="415"/>
      <c r="Y28" s="415"/>
      <c r="Z28" s="415"/>
    </row>
    <row r="29" spans="1:26" ht="15.75" customHeight="1">
      <c r="A29" s="451" t="s">
        <v>34</v>
      </c>
      <c r="B29" s="544" t="str">
        <f>Costs!B29</f>
        <v>Total SF</v>
      </c>
      <c r="C29" s="545"/>
      <c r="D29" s="522"/>
      <c r="E29" s="522"/>
      <c r="F29" s="524"/>
      <c r="G29" s="522"/>
      <c r="H29" s="522"/>
      <c r="I29" s="522"/>
      <c r="J29" s="546"/>
      <c r="K29" s="547"/>
      <c r="L29" s="548"/>
      <c r="M29" s="536"/>
      <c r="N29" s="529"/>
      <c r="O29" s="530" t="str">
        <f t="shared" si="0"/>
        <v>Amenities</v>
      </c>
      <c r="P29" s="531"/>
      <c r="Q29" s="414"/>
      <c r="R29" s="415"/>
      <c r="S29" s="415"/>
      <c r="T29" s="415"/>
      <c r="U29" s="415"/>
      <c r="V29" s="415"/>
      <c r="W29" s="415"/>
      <c r="X29" s="415"/>
      <c r="Y29" s="415"/>
      <c r="Z29" s="415"/>
    </row>
    <row r="30" spans="1:26" ht="15.75" customHeight="1">
      <c r="A30" s="416" t="s">
        <v>35</v>
      </c>
      <c r="B30" s="448">
        <f>Costs!B30</f>
        <v>15000</v>
      </c>
      <c r="C30" s="447"/>
      <c r="D30" s="423"/>
      <c r="E30" s="537"/>
      <c r="F30" s="538">
        <f t="shared" ref="F30:F32" si="15">ROUND(B30*D30,-3)</f>
        <v>0</v>
      </c>
      <c r="G30" s="537"/>
      <c r="H30" s="537">
        <f>Costs!E30-Costs!I30</f>
        <v>277000</v>
      </c>
      <c r="I30" s="537"/>
      <c r="J30" s="539"/>
      <c r="K30" s="540"/>
      <c r="L30" s="541">
        <f t="shared" ref="L30:L32" si="16">F30-H30</f>
        <v>-277000</v>
      </c>
      <c r="M30" s="536"/>
      <c r="N30" s="529">
        <f t="shared" ref="N30:N32" si="17">L30/B30</f>
        <v>-18.466666666666665</v>
      </c>
      <c r="O30" s="530" t="str">
        <f t="shared" si="0"/>
        <v xml:space="preserve"> - Park/Plaza</v>
      </c>
      <c r="P30" s="531"/>
      <c r="Q30" s="414"/>
      <c r="R30" s="415"/>
      <c r="S30" s="415"/>
      <c r="T30" s="415"/>
      <c r="U30" s="415"/>
      <c r="V30" s="415"/>
      <c r="W30" s="415"/>
      <c r="X30" s="415"/>
      <c r="Y30" s="415"/>
      <c r="Z30" s="415"/>
    </row>
    <row r="31" spans="1:26" ht="15.75" customHeight="1">
      <c r="A31" s="416" t="s">
        <v>36</v>
      </c>
      <c r="B31" s="448">
        <f>Costs!B31</f>
        <v>10000</v>
      </c>
      <c r="C31" s="447"/>
      <c r="D31" s="423"/>
      <c r="E31" s="537"/>
      <c r="F31" s="538">
        <f t="shared" si="15"/>
        <v>0</v>
      </c>
      <c r="G31" s="537"/>
      <c r="H31" s="537">
        <f>Costs!E31-Costs!I31</f>
        <v>195000</v>
      </c>
      <c r="I31" s="537"/>
      <c r="J31" s="539"/>
      <c r="K31" s="540"/>
      <c r="L31" s="541">
        <f t="shared" si="16"/>
        <v>-195000</v>
      </c>
      <c r="M31" s="536"/>
      <c r="N31" s="529">
        <f t="shared" si="17"/>
        <v>-19.5</v>
      </c>
      <c r="O31" s="530" t="str">
        <f t="shared" si="0"/>
        <v xml:space="preserve"> - Sports Fields &amp; Courts</v>
      </c>
      <c r="P31" s="531"/>
      <c r="Q31" s="414"/>
      <c r="R31" s="415"/>
      <c r="S31" s="415"/>
      <c r="T31" s="415"/>
      <c r="U31" s="415"/>
      <c r="V31" s="415"/>
      <c r="W31" s="415"/>
      <c r="X31" s="415"/>
      <c r="Y31" s="415"/>
      <c r="Z31" s="415"/>
    </row>
    <row r="32" spans="1:26" ht="15.75" customHeight="1">
      <c r="A32" s="416" t="s">
        <v>37</v>
      </c>
      <c r="B32" s="448">
        <f>Costs!B32</f>
        <v>10000</v>
      </c>
      <c r="C32" s="447"/>
      <c r="D32" s="423"/>
      <c r="E32" s="537"/>
      <c r="F32" s="538">
        <f t="shared" si="15"/>
        <v>0</v>
      </c>
      <c r="G32" s="537"/>
      <c r="H32" s="537">
        <f>Costs!E32-Costs!I32</f>
        <v>300000</v>
      </c>
      <c r="I32" s="537"/>
      <c r="J32" s="539"/>
      <c r="K32" s="540"/>
      <c r="L32" s="541">
        <f t="shared" si="16"/>
        <v>-300000</v>
      </c>
      <c r="M32" s="536"/>
      <c r="N32" s="529">
        <f t="shared" si="17"/>
        <v>-30</v>
      </c>
      <c r="O32" s="530" t="str">
        <f t="shared" si="0"/>
        <v xml:space="preserve"> - Skate Park</v>
      </c>
      <c r="P32" s="531"/>
      <c r="Q32" s="414"/>
      <c r="R32" s="415"/>
      <c r="S32" s="415"/>
      <c r="T32" s="415"/>
      <c r="U32" s="415"/>
      <c r="V32" s="415"/>
      <c r="W32" s="415"/>
      <c r="X32" s="415"/>
      <c r="Y32" s="415"/>
      <c r="Z32" s="415"/>
    </row>
    <row r="33" spans="1:26" ht="15.75" customHeight="1">
      <c r="A33" s="451" t="s">
        <v>239</v>
      </c>
      <c r="B33" s="550">
        <f>Costs!B33</f>
        <v>0</v>
      </c>
      <c r="C33" s="545"/>
      <c r="D33" s="522"/>
      <c r="E33" s="522"/>
      <c r="F33" s="524"/>
      <c r="G33" s="522"/>
      <c r="H33" s="522"/>
      <c r="I33" s="522"/>
      <c r="J33" s="546"/>
      <c r="K33" s="547"/>
      <c r="L33" s="548"/>
      <c r="M33" s="536"/>
      <c r="N33" s="551"/>
      <c r="O33" s="552"/>
      <c r="P33" s="531"/>
      <c r="Q33" s="414"/>
      <c r="R33" s="415"/>
      <c r="S33" s="415"/>
      <c r="T33" s="415"/>
      <c r="U33" s="415"/>
      <c r="V33" s="415"/>
      <c r="W33" s="415"/>
      <c r="X33" s="415"/>
      <c r="Y33" s="415"/>
      <c r="Z33" s="415"/>
    </row>
    <row r="34" spans="1:26" ht="15.75" customHeight="1">
      <c r="A34" s="416" t="str">
        <f>Costs!$A$34</f>
        <v xml:space="preserve"> - Homeless Shelter Fund Fee</v>
      </c>
      <c r="B34" s="448"/>
      <c r="C34" s="447"/>
      <c r="D34" s="423">
        <v>0</v>
      </c>
      <c r="E34" s="553"/>
      <c r="F34" s="532">
        <f>B34*D34</f>
        <v>0</v>
      </c>
      <c r="G34" s="423"/>
      <c r="H34" s="423">
        <f>Costs!E34</f>
        <v>0</v>
      </c>
      <c r="I34" s="553"/>
      <c r="J34" s="554"/>
      <c r="K34" s="555"/>
      <c r="L34" s="556">
        <f>F34-H34</f>
        <v>0</v>
      </c>
      <c r="M34" s="536"/>
      <c r="N34" s="551"/>
      <c r="O34" s="552"/>
      <c r="P34" s="531"/>
      <c r="Q34" s="414"/>
      <c r="R34" s="415"/>
      <c r="S34" s="415"/>
      <c r="T34" s="415"/>
      <c r="U34" s="415"/>
      <c r="V34" s="415"/>
      <c r="W34" s="415"/>
      <c r="X34" s="415"/>
      <c r="Y34" s="415"/>
      <c r="Z34" s="415"/>
    </row>
    <row r="35" spans="1:26" ht="15.75" customHeight="1">
      <c r="A35" s="451" t="s">
        <v>105</v>
      </c>
      <c r="B35" s="544" t="str">
        <f>Costs!B35</f>
        <v>Total Spaces</v>
      </c>
      <c r="C35" s="545"/>
      <c r="D35" s="522"/>
      <c r="E35" s="522"/>
      <c r="F35" s="524"/>
      <c r="G35" s="522"/>
      <c r="H35" s="522"/>
      <c r="I35" s="522"/>
      <c r="J35" s="546"/>
      <c r="K35" s="547"/>
      <c r="L35" s="548"/>
      <c r="M35" s="536"/>
      <c r="N35" s="551"/>
      <c r="O35" s="552"/>
      <c r="P35" s="531"/>
      <c r="Q35" s="414"/>
      <c r="R35" s="415"/>
      <c r="S35" s="415"/>
      <c r="T35" s="415"/>
      <c r="U35" s="415"/>
      <c r="V35" s="415"/>
      <c r="W35" s="415"/>
      <c r="X35" s="415"/>
      <c r="Y35" s="415"/>
      <c r="Z35" s="415"/>
    </row>
    <row r="36" spans="1:26" ht="15.75" customHeight="1">
      <c r="A36" s="416" t="s">
        <v>191</v>
      </c>
      <c r="B36" s="448">
        <f>Costs!B36</f>
        <v>0</v>
      </c>
      <c r="C36" s="447"/>
      <c r="D36" s="423"/>
      <c r="E36" s="537"/>
      <c r="F36" s="538"/>
      <c r="G36" s="537"/>
      <c r="H36" s="537"/>
      <c r="I36" s="537"/>
      <c r="J36" s="539"/>
      <c r="K36" s="540"/>
      <c r="L36" s="541"/>
      <c r="M36" s="536"/>
      <c r="N36" s="551"/>
      <c r="O36" s="552"/>
      <c r="P36" s="531"/>
      <c r="Q36" s="414"/>
      <c r="R36" s="415"/>
      <c r="S36" s="415"/>
      <c r="T36" s="415"/>
      <c r="U36" s="415"/>
      <c r="V36" s="415"/>
      <c r="W36" s="415"/>
      <c r="X36" s="415"/>
      <c r="Y36" s="415"/>
      <c r="Z36" s="415"/>
    </row>
    <row r="37" spans="1:26" ht="15.75" customHeight="1">
      <c r="A37" s="416" t="s">
        <v>192</v>
      </c>
      <c r="B37" s="448">
        <f>Costs!B37</f>
        <v>75</v>
      </c>
      <c r="C37" s="447"/>
      <c r="D37" s="423"/>
      <c r="E37" s="537"/>
      <c r="F37" s="538"/>
      <c r="G37" s="537"/>
      <c r="H37" s="537"/>
      <c r="I37" s="537"/>
      <c r="J37" s="539"/>
      <c r="K37" s="540"/>
      <c r="L37" s="541"/>
      <c r="M37" s="536"/>
      <c r="N37" s="551"/>
      <c r="O37" s="552"/>
      <c r="P37" s="531"/>
      <c r="Q37" s="414"/>
      <c r="R37" s="415"/>
      <c r="S37" s="415"/>
      <c r="T37" s="415"/>
      <c r="U37" s="415"/>
      <c r="V37" s="415"/>
      <c r="W37" s="415"/>
      <c r="X37" s="415"/>
      <c r="Y37" s="415"/>
      <c r="Z37" s="415"/>
    </row>
    <row r="38" spans="1:26" ht="15.75" customHeight="1">
      <c r="A38" s="416" t="s">
        <v>193</v>
      </c>
      <c r="B38" s="448">
        <f>Costs!B38</f>
        <v>360</v>
      </c>
      <c r="C38" s="447"/>
      <c r="D38" s="423"/>
      <c r="E38" s="537"/>
      <c r="F38" s="538"/>
      <c r="G38" s="537"/>
      <c r="H38" s="537"/>
      <c r="I38" s="537"/>
      <c r="J38" s="539"/>
      <c r="K38" s="540"/>
      <c r="L38" s="541"/>
      <c r="M38" s="536"/>
      <c r="N38" s="551"/>
      <c r="O38" s="552"/>
      <c r="P38" s="531"/>
      <c r="Q38" s="414"/>
      <c r="R38" s="415"/>
      <c r="S38" s="415"/>
      <c r="T38" s="415"/>
      <c r="U38" s="415"/>
      <c r="V38" s="415"/>
      <c r="W38" s="415"/>
      <c r="X38" s="415"/>
      <c r="Y38" s="415"/>
      <c r="Z38" s="415"/>
    </row>
    <row r="39" spans="1:26" ht="15.75" customHeight="1">
      <c r="A39" s="416" t="s">
        <v>194</v>
      </c>
      <c r="B39" s="448">
        <f>Costs!B39</f>
        <v>480</v>
      </c>
      <c r="C39" s="447"/>
      <c r="D39" s="423"/>
      <c r="E39" s="537"/>
      <c r="F39" s="538"/>
      <c r="G39" s="537"/>
      <c r="H39" s="537"/>
      <c r="I39" s="537"/>
      <c r="J39" s="539"/>
      <c r="K39" s="540"/>
      <c r="L39" s="541"/>
      <c r="M39" s="536"/>
      <c r="N39" s="551"/>
      <c r="O39" s="552"/>
      <c r="P39" s="531"/>
      <c r="Q39" s="414"/>
      <c r="R39" s="415"/>
      <c r="S39" s="415"/>
      <c r="T39" s="415"/>
      <c r="U39" s="415"/>
      <c r="V39" s="415"/>
      <c r="W39" s="415"/>
      <c r="X39" s="415"/>
      <c r="Y39" s="415"/>
      <c r="Z39" s="415"/>
    </row>
    <row r="40" spans="1:26" ht="15.75" customHeight="1">
      <c r="A40" s="416" t="s">
        <v>222</v>
      </c>
      <c r="B40" s="448">
        <f>Costs!B40</f>
        <v>160</v>
      </c>
      <c r="C40" s="447"/>
      <c r="D40" s="423"/>
      <c r="E40" s="537"/>
      <c r="F40" s="538"/>
      <c r="G40" s="537"/>
      <c r="H40" s="537"/>
      <c r="I40" s="537"/>
      <c r="J40" s="539"/>
      <c r="K40" s="540"/>
      <c r="L40" s="541"/>
      <c r="M40" s="536"/>
      <c r="N40" s="551"/>
      <c r="O40" s="552"/>
      <c r="P40" s="531"/>
      <c r="Q40" s="414"/>
      <c r="R40" s="415"/>
      <c r="S40" s="415"/>
      <c r="T40" s="415"/>
      <c r="U40" s="415"/>
      <c r="V40" s="415"/>
      <c r="W40" s="415"/>
      <c r="X40" s="415"/>
      <c r="Y40" s="415"/>
      <c r="Z40" s="415"/>
    </row>
    <row r="41" spans="1:26" ht="15.75" customHeight="1">
      <c r="A41" s="416" t="s">
        <v>196</v>
      </c>
      <c r="B41" s="448">
        <f>Costs!B41</f>
        <v>0</v>
      </c>
      <c r="C41" s="447"/>
      <c r="D41" s="423"/>
      <c r="E41" s="537"/>
      <c r="F41" s="538"/>
      <c r="G41" s="537"/>
      <c r="H41" s="537"/>
      <c r="I41" s="537"/>
      <c r="J41" s="539"/>
      <c r="K41" s="540"/>
      <c r="L41" s="541"/>
      <c r="M41" s="536"/>
      <c r="N41" s="551"/>
      <c r="O41" s="552"/>
      <c r="P41" s="531"/>
      <c r="Q41" s="414"/>
      <c r="R41" s="415"/>
      <c r="S41" s="415"/>
      <c r="T41" s="415"/>
      <c r="U41" s="415"/>
      <c r="V41" s="415"/>
      <c r="W41" s="415"/>
      <c r="X41" s="415"/>
      <c r="Y41" s="415"/>
      <c r="Z41" s="415"/>
    </row>
    <row r="42" spans="1:26" ht="15.75" customHeight="1">
      <c r="A42" s="407" t="s">
        <v>240</v>
      </c>
      <c r="B42" s="557"/>
      <c r="C42" s="558"/>
      <c r="D42" s="559"/>
      <c r="E42" s="560"/>
      <c r="F42" s="561"/>
      <c r="G42" s="560"/>
      <c r="H42" s="560">
        <v>7500000</v>
      </c>
      <c r="I42" s="560"/>
      <c r="J42" s="562"/>
      <c r="K42" s="563"/>
      <c r="L42" s="564">
        <f>F42-H42</f>
        <v>-7500000</v>
      </c>
      <c r="M42" s="528"/>
      <c r="N42" s="551"/>
      <c r="O42" s="552"/>
      <c r="P42" s="531"/>
      <c r="Q42" s="414"/>
      <c r="R42" s="415"/>
      <c r="S42" s="415"/>
      <c r="T42" s="415"/>
      <c r="U42" s="415"/>
      <c r="V42" s="415"/>
      <c r="W42" s="415"/>
      <c r="X42" s="415"/>
      <c r="Y42" s="415"/>
      <c r="Z42" s="415"/>
    </row>
    <row r="43" spans="1:26" ht="15.75" customHeight="1">
      <c r="A43" s="565"/>
      <c r="B43" s="448"/>
      <c r="C43" s="447"/>
      <c r="D43" s="423"/>
      <c r="E43" s="553"/>
      <c r="F43" s="566"/>
      <c r="G43" s="553"/>
      <c r="H43" s="553"/>
      <c r="I43" s="553"/>
      <c r="J43" s="554"/>
      <c r="K43" s="555"/>
      <c r="L43" s="556"/>
      <c r="M43" s="528"/>
      <c r="N43" s="551"/>
      <c r="O43" s="552"/>
      <c r="P43" s="531"/>
      <c r="Q43" s="414"/>
      <c r="R43" s="415"/>
      <c r="S43" s="415"/>
      <c r="T43" s="415"/>
      <c r="U43" s="415"/>
      <c r="V43" s="415"/>
      <c r="W43" s="415"/>
      <c r="X43" s="415"/>
      <c r="Y43" s="415"/>
      <c r="Z43" s="415"/>
    </row>
    <row r="44" spans="1:26" ht="15.75" customHeight="1">
      <c r="A44" s="565"/>
      <c r="B44" s="448"/>
      <c r="C44" s="447"/>
      <c r="D44" s="423"/>
      <c r="E44" s="553"/>
      <c r="F44" s="566"/>
      <c r="G44" s="553"/>
      <c r="H44" s="553"/>
      <c r="I44" s="553"/>
      <c r="J44" s="554"/>
      <c r="K44" s="555"/>
      <c r="L44" s="556"/>
      <c r="M44" s="528"/>
      <c r="N44" s="551"/>
      <c r="O44" s="552"/>
      <c r="P44" s="531"/>
      <c r="Q44" s="414"/>
      <c r="R44" s="415"/>
      <c r="S44" s="415"/>
      <c r="T44" s="415"/>
      <c r="U44" s="415"/>
      <c r="V44" s="415"/>
      <c r="W44" s="415"/>
      <c r="X44" s="415"/>
      <c r="Y44" s="415"/>
      <c r="Z44" s="415"/>
    </row>
    <row r="45" spans="1:26" ht="15.75" customHeight="1">
      <c r="A45" s="565"/>
      <c r="B45" s="567"/>
      <c r="C45" s="568"/>
      <c r="D45" s="569"/>
      <c r="E45" s="570"/>
      <c r="F45" s="571">
        <f>SUM(F5:F44)</f>
        <v>146395000</v>
      </c>
      <c r="G45" s="572"/>
      <c r="H45" s="572">
        <f>SUM(H5:H44)</f>
        <v>120475000</v>
      </c>
      <c r="I45" s="572"/>
      <c r="J45" s="573">
        <f>SUM(J5:J44)</f>
        <v>-8381539.4853593595</v>
      </c>
      <c r="K45" s="574"/>
      <c r="L45" s="575">
        <f>SUM(L5:L44)</f>
        <v>17538460.51464064</v>
      </c>
      <c r="M45" s="528"/>
      <c r="N45" s="551"/>
      <c r="O45" s="552"/>
      <c r="P45" s="531"/>
      <c r="Q45" s="414"/>
      <c r="R45" s="415"/>
      <c r="S45" s="415"/>
      <c r="T45" s="415"/>
      <c r="U45" s="415"/>
      <c r="V45" s="415"/>
      <c r="W45" s="415"/>
      <c r="X45" s="415"/>
      <c r="Y45" s="415"/>
      <c r="Z45" s="415"/>
    </row>
    <row r="46" spans="1:26" ht="15.75" customHeight="1">
      <c r="A46" s="565"/>
      <c r="B46" s="576"/>
      <c r="C46" s="576"/>
      <c r="D46" s="577"/>
      <c r="E46" s="577"/>
      <c r="F46" s="577"/>
      <c r="G46" s="577"/>
      <c r="H46" s="577"/>
      <c r="I46" s="577"/>
      <c r="J46" s="578" t="str">
        <f>IF(J45&lt;0,"WARNING",0)</f>
        <v>WARNING</v>
      </c>
      <c r="K46" s="577"/>
      <c r="L46" s="579">
        <f>L45/H45</f>
        <v>0.14557759298311385</v>
      </c>
      <c r="M46" s="528"/>
      <c r="N46" s="580"/>
      <c r="O46" s="581"/>
      <c r="P46" s="582"/>
      <c r="Q46" s="414"/>
      <c r="R46" s="415"/>
      <c r="S46" s="415"/>
      <c r="T46" s="415"/>
      <c r="U46" s="415"/>
      <c r="V46" s="415"/>
      <c r="W46" s="415"/>
      <c r="X46" s="415"/>
      <c r="Y46" s="415"/>
      <c r="Z46" s="415"/>
    </row>
    <row r="47" spans="1:26" ht="13.5" customHeight="1">
      <c r="A47" s="107"/>
      <c r="B47" s="2"/>
      <c r="C47" s="2"/>
      <c r="D47" s="440"/>
      <c r="E47" s="440"/>
      <c r="F47" s="440"/>
      <c r="G47" s="440"/>
      <c r="H47" s="440"/>
      <c r="I47" s="440"/>
      <c r="J47" s="583"/>
      <c r="K47" s="440"/>
      <c r="L47" s="584"/>
      <c r="M47" s="8"/>
      <c r="N47" s="442"/>
      <c r="O47" s="442"/>
      <c r="P47" s="442"/>
      <c r="Q47" s="2"/>
    </row>
    <row r="48" spans="1:26" ht="13.5" hidden="1" customHeight="1">
      <c r="A48" s="442"/>
      <c r="B48" s="442"/>
      <c r="C48" s="442"/>
      <c r="D48" s="442"/>
      <c r="E48" s="442"/>
      <c r="F48" s="442"/>
      <c r="G48" s="442"/>
      <c r="H48" s="442"/>
      <c r="I48" s="442"/>
      <c r="J48" s="442"/>
      <c r="K48" s="442"/>
      <c r="L48" s="442"/>
      <c r="M48" s="442"/>
      <c r="N48" s="442"/>
      <c r="O48" s="442"/>
      <c r="P48" s="442"/>
      <c r="Q48" s="442"/>
    </row>
    <row r="49" spans="1:17" ht="13.5" hidden="1" customHeight="1">
      <c r="A49" s="442"/>
      <c r="B49" s="442"/>
      <c r="C49" s="442"/>
      <c r="D49" s="442"/>
      <c r="E49" s="442"/>
      <c r="F49" s="442"/>
      <c r="G49" s="442"/>
      <c r="H49" s="442"/>
      <c r="I49" s="442"/>
      <c r="J49" s="442"/>
      <c r="K49" s="442"/>
      <c r="L49" s="442"/>
      <c r="M49" s="442"/>
      <c r="N49" s="442"/>
      <c r="O49" s="442"/>
      <c r="P49" s="442"/>
      <c r="Q49" s="442"/>
    </row>
    <row r="50" spans="1:17" ht="13.5" hidden="1" customHeight="1">
      <c r="A50" s="442"/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</row>
    <row r="51" spans="1:17" ht="13.5" hidden="1" customHeight="1">
      <c r="A51" s="442"/>
      <c r="B51" s="442"/>
      <c r="C51" s="442"/>
      <c r="D51" s="442"/>
      <c r="E51" s="442"/>
      <c r="F51" s="442"/>
      <c r="G51" s="442"/>
      <c r="H51" s="442"/>
      <c r="I51" s="442"/>
      <c r="J51" s="442"/>
      <c r="K51" s="442"/>
      <c r="L51" s="442"/>
      <c r="M51" s="442"/>
      <c r="N51" s="442"/>
      <c r="O51" s="442"/>
      <c r="P51" s="442"/>
      <c r="Q51" s="442"/>
    </row>
    <row r="52" spans="1:17" ht="13.5" hidden="1" customHeight="1">
      <c r="A52" s="442"/>
      <c r="B52" s="442"/>
      <c r="C52" s="442"/>
      <c r="D52" s="442"/>
      <c r="E52" s="442"/>
      <c r="F52" s="442"/>
      <c r="G52" s="442"/>
      <c r="H52" s="442"/>
      <c r="I52" s="442"/>
      <c r="J52" s="442"/>
      <c r="K52" s="442"/>
      <c r="L52" s="442"/>
      <c r="M52" s="442"/>
      <c r="N52" s="442"/>
      <c r="O52" s="442"/>
      <c r="P52" s="442"/>
      <c r="Q52" s="442"/>
    </row>
    <row r="53" spans="1:17" ht="13.5" hidden="1" customHeight="1">
      <c r="A53" s="442"/>
      <c r="B53" s="442"/>
      <c r="C53" s="442"/>
      <c r="D53" s="442"/>
      <c r="E53" s="442"/>
      <c r="F53" s="442"/>
      <c r="G53" s="442"/>
      <c r="H53" s="442"/>
      <c r="I53" s="442"/>
      <c r="J53" s="442"/>
      <c r="K53" s="442"/>
      <c r="L53" s="442"/>
      <c r="M53" s="442"/>
      <c r="N53" s="442"/>
      <c r="O53" s="442"/>
      <c r="P53" s="442"/>
      <c r="Q53" s="442"/>
    </row>
    <row r="54" spans="1:17" ht="13.5" hidden="1" customHeight="1">
      <c r="A54" s="442"/>
      <c r="B54" s="442"/>
      <c r="C54" s="442"/>
      <c r="D54" s="442"/>
      <c r="E54" s="442"/>
      <c r="F54" s="442"/>
      <c r="G54" s="442"/>
      <c r="H54" s="442"/>
      <c r="I54" s="442"/>
      <c r="J54" s="442"/>
      <c r="K54" s="442"/>
      <c r="L54" s="442"/>
      <c r="M54" s="442"/>
      <c r="N54" s="442"/>
      <c r="O54" s="442"/>
      <c r="P54" s="442"/>
      <c r="Q54" s="442"/>
    </row>
    <row r="55" spans="1:17" ht="13.5" hidden="1" customHeight="1">
      <c r="A55" s="442"/>
      <c r="B55" s="442"/>
      <c r="C55" s="442"/>
      <c r="D55" s="442"/>
      <c r="E55" s="442"/>
      <c r="F55" s="442"/>
      <c r="G55" s="442"/>
      <c r="H55" s="442"/>
      <c r="I55" s="442"/>
      <c r="J55" s="442"/>
      <c r="K55" s="442"/>
      <c r="L55" s="442"/>
      <c r="M55" s="442"/>
      <c r="N55" s="442"/>
      <c r="O55" s="442"/>
      <c r="P55" s="442"/>
      <c r="Q55" s="442"/>
    </row>
    <row r="56" spans="1:17" ht="13.5" hidden="1" customHeight="1">
      <c r="A56" s="442"/>
      <c r="B56" s="442"/>
      <c r="C56" s="442"/>
      <c r="D56" s="442"/>
      <c r="E56" s="442"/>
      <c r="F56" s="442"/>
      <c r="G56" s="442"/>
      <c r="H56" s="442"/>
      <c r="I56" s="442"/>
      <c r="J56" s="442"/>
      <c r="K56" s="442"/>
      <c r="L56" s="442"/>
      <c r="M56" s="442"/>
      <c r="N56" s="442"/>
      <c r="O56" s="442"/>
      <c r="P56" s="442"/>
      <c r="Q56" s="442"/>
    </row>
    <row r="57" spans="1:17" ht="13.5" hidden="1" customHeight="1">
      <c r="A57" s="442"/>
      <c r="B57" s="442"/>
      <c r="C57" s="442"/>
      <c r="D57" s="442"/>
      <c r="E57" s="442"/>
      <c r="F57" s="442"/>
      <c r="G57" s="442"/>
      <c r="H57" s="442"/>
      <c r="I57" s="442"/>
      <c r="J57" s="442"/>
      <c r="K57" s="442"/>
      <c r="L57" s="442"/>
      <c r="M57" s="442"/>
      <c r="N57" s="442"/>
      <c r="O57" s="442"/>
      <c r="P57" s="442"/>
      <c r="Q57" s="442"/>
    </row>
    <row r="58" spans="1:17" ht="13.5" hidden="1" customHeight="1">
      <c r="A58" s="442"/>
      <c r="B58" s="442"/>
      <c r="C58" s="442"/>
      <c r="D58" s="442"/>
      <c r="E58" s="442"/>
      <c r="F58" s="442"/>
      <c r="G58" s="442"/>
      <c r="H58" s="442"/>
      <c r="I58" s="442"/>
      <c r="J58" s="442"/>
      <c r="K58" s="442"/>
      <c r="L58" s="442"/>
      <c r="M58" s="442"/>
      <c r="N58" s="442"/>
      <c r="O58" s="442"/>
      <c r="P58" s="442"/>
      <c r="Q58" s="442"/>
    </row>
    <row r="59" spans="1:17" ht="13.5" hidden="1" customHeight="1">
      <c r="A59" s="442"/>
      <c r="B59" s="442"/>
      <c r="C59" s="442"/>
      <c r="D59" s="442"/>
      <c r="E59" s="442"/>
      <c r="F59" s="442"/>
      <c r="G59" s="442"/>
      <c r="H59" s="442"/>
      <c r="I59" s="442"/>
      <c r="J59" s="442"/>
      <c r="K59" s="442"/>
      <c r="L59" s="442"/>
      <c r="M59" s="442"/>
      <c r="N59" s="442"/>
      <c r="O59" s="442"/>
      <c r="P59" s="442"/>
      <c r="Q59" s="442"/>
    </row>
    <row r="60" spans="1:17" ht="13.5" hidden="1" customHeight="1">
      <c r="A60" s="442"/>
      <c r="B60" s="442"/>
      <c r="C60" s="442"/>
      <c r="D60" s="442"/>
      <c r="E60" s="442"/>
      <c r="F60" s="442"/>
      <c r="G60" s="442"/>
      <c r="H60" s="442"/>
      <c r="I60" s="442"/>
      <c r="J60" s="442"/>
      <c r="K60" s="442"/>
      <c r="L60" s="442"/>
      <c r="M60" s="442"/>
      <c r="N60" s="442"/>
      <c r="O60" s="442"/>
      <c r="P60" s="442"/>
      <c r="Q60" s="442"/>
    </row>
    <row r="61" spans="1:17" ht="13.5" hidden="1" customHeight="1">
      <c r="A61" s="442"/>
      <c r="B61" s="442"/>
      <c r="C61" s="442"/>
      <c r="D61" s="442"/>
      <c r="E61" s="442"/>
      <c r="F61" s="442"/>
      <c r="G61" s="442"/>
      <c r="H61" s="442"/>
      <c r="I61" s="442"/>
      <c r="J61" s="442"/>
      <c r="K61" s="442"/>
      <c r="L61" s="442"/>
      <c r="M61" s="442"/>
      <c r="N61" s="442"/>
      <c r="O61" s="442"/>
      <c r="P61" s="442"/>
      <c r="Q61" s="442"/>
    </row>
    <row r="62" spans="1:17" ht="13.5" hidden="1" customHeight="1">
      <c r="A62" s="442"/>
      <c r="B62" s="442"/>
      <c r="C62" s="442"/>
      <c r="D62" s="442"/>
      <c r="E62" s="442"/>
      <c r="F62" s="442"/>
      <c r="G62" s="442"/>
      <c r="H62" s="442"/>
      <c r="I62" s="442"/>
      <c r="J62" s="442"/>
      <c r="K62" s="442"/>
      <c r="L62" s="442"/>
      <c r="M62" s="442"/>
      <c r="N62" s="442"/>
      <c r="O62" s="442"/>
      <c r="P62" s="442"/>
      <c r="Q62" s="442"/>
    </row>
    <row r="63" spans="1:17" ht="13.5" hidden="1" customHeight="1">
      <c r="A63" s="442"/>
      <c r="B63" s="442"/>
      <c r="C63" s="442"/>
      <c r="D63" s="442"/>
      <c r="E63" s="442"/>
      <c r="F63" s="442"/>
      <c r="G63" s="442"/>
      <c r="H63" s="442"/>
      <c r="I63" s="442"/>
      <c r="J63" s="442"/>
      <c r="K63" s="442"/>
      <c r="L63" s="442"/>
      <c r="M63" s="442"/>
      <c r="N63" s="442"/>
      <c r="O63" s="442"/>
      <c r="P63" s="442"/>
      <c r="Q63" s="442"/>
    </row>
    <row r="64" spans="1:17" ht="13.5" hidden="1" customHeight="1">
      <c r="A64" s="442"/>
      <c r="B64" s="442"/>
      <c r="C64" s="442"/>
      <c r="D64" s="442"/>
      <c r="E64" s="442"/>
      <c r="F64" s="442"/>
      <c r="G64" s="442"/>
      <c r="H64" s="442"/>
      <c r="I64" s="442"/>
      <c r="J64" s="442"/>
      <c r="K64" s="442"/>
      <c r="L64" s="442"/>
      <c r="M64" s="442"/>
      <c r="N64" s="442"/>
      <c r="O64" s="442"/>
      <c r="P64" s="442"/>
      <c r="Q64" s="442"/>
    </row>
    <row r="65" spans="1:17" ht="13.5" hidden="1" customHeight="1">
      <c r="A65" s="442"/>
      <c r="B65" s="442"/>
      <c r="C65" s="442"/>
      <c r="D65" s="442"/>
      <c r="E65" s="442"/>
      <c r="F65" s="442"/>
      <c r="G65" s="442"/>
      <c r="H65" s="442"/>
      <c r="I65" s="442"/>
      <c r="J65" s="442"/>
      <c r="K65" s="442"/>
      <c r="L65" s="442"/>
      <c r="M65" s="442"/>
      <c r="N65" s="442"/>
      <c r="O65" s="442"/>
      <c r="P65" s="442"/>
      <c r="Q65" s="442"/>
    </row>
    <row r="66" spans="1:17" ht="13.5" hidden="1" customHeight="1">
      <c r="A66" s="442"/>
      <c r="B66" s="442"/>
      <c r="C66" s="442"/>
      <c r="D66" s="442"/>
      <c r="E66" s="442"/>
      <c r="F66" s="442"/>
      <c r="G66" s="442"/>
      <c r="H66" s="442"/>
      <c r="I66" s="442"/>
      <c r="J66" s="442"/>
      <c r="K66" s="442"/>
      <c r="L66" s="442"/>
      <c r="M66" s="442"/>
      <c r="N66" s="442"/>
      <c r="O66" s="442"/>
      <c r="P66" s="442"/>
      <c r="Q66" s="442"/>
    </row>
    <row r="67" spans="1:17" ht="13.5" hidden="1" customHeight="1">
      <c r="A67" s="442"/>
      <c r="B67" s="442"/>
      <c r="C67" s="442"/>
      <c r="D67" s="442"/>
      <c r="E67" s="442"/>
      <c r="F67" s="442"/>
      <c r="G67" s="442"/>
      <c r="H67" s="442"/>
      <c r="I67" s="442"/>
      <c r="J67" s="442"/>
      <c r="K67" s="442"/>
      <c r="L67" s="442"/>
      <c r="M67" s="442"/>
      <c r="N67" s="442"/>
      <c r="O67" s="442"/>
      <c r="P67" s="442"/>
      <c r="Q67" s="442"/>
    </row>
    <row r="68" spans="1:17" ht="13.5" hidden="1" customHeight="1">
      <c r="A68" s="442"/>
      <c r="B68" s="442"/>
      <c r="C68" s="442"/>
      <c r="D68" s="442"/>
      <c r="E68" s="442"/>
      <c r="F68" s="442"/>
      <c r="G68" s="442"/>
      <c r="H68" s="442"/>
      <c r="I68" s="442"/>
      <c r="J68" s="442"/>
      <c r="K68" s="442"/>
      <c r="L68" s="442"/>
      <c r="M68" s="442"/>
      <c r="N68" s="442"/>
      <c r="O68" s="442"/>
      <c r="P68" s="442"/>
      <c r="Q68" s="442"/>
    </row>
    <row r="69" spans="1:17" ht="13.5" hidden="1" customHeight="1">
      <c r="A69" s="442"/>
      <c r="B69" s="442"/>
      <c r="C69" s="442"/>
      <c r="D69" s="442"/>
      <c r="E69" s="442"/>
      <c r="F69" s="442"/>
      <c r="G69" s="442"/>
      <c r="H69" s="442"/>
      <c r="I69" s="442"/>
      <c r="J69" s="442"/>
      <c r="K69" s="442"/>
      <c r="L69" s="442"/>
      <c r="M69" s="442"/>
      <c r="N69" s="442"/>
      <c r="O69" s="442"/>
      <c r="P69" s="442"/>
      <c r="Q69" s="442"/>
    </row>
    <row r="70" spans="1:17" ht="13.5" hidden="1" customHeight="1">
      <c r="A70" s="442"/>
      <c r="B70" s="442"/>
      <c r="C70" s="442"/>
      <c r="D70" s="442"/>
      <c r="E70" s="442"/>
      <c r="F70" s="442"/>
      <c r="G70" s="442"/>
      <c r="H70" s="442"/>
      <c r="I70" s="442"/>
      <c r="J70" s="442"/>
      <c r="K70" s="442"/>
      <c r="L70" s="442"/>
      <c r="M70" s="442"/>
      <c r="N70" s="442"/>
      <c r="O70" s="442"/>
      <c r="P70" s="442"/>
      <c r="Q70" s="442"/>
    </row>
    <row r="71" spans="1:17" ht="13.5" hidden="1" customHeight="1">
      <c r="A71" s="442"/>
      <c r="B71" s="442"/>
      <c r="C71" s="442"/>
      <c r="D71" s="442"/>
      <c r="E71" s="442"/>
      <c r="F71" s="442"/>
      <c r="G71" s="442"/>
      <c r="H71" s="442"/>
      <c r="I71" s="442"/>
      <c r="J71" s="442"/>
      <c r="K71" s="442"/>
      <c r="L71" s="442"/>
      <c r="M71" s="442"/>
      <c r="N71" s="442"/>
      <c r="O71" s="442"/>
      <c r="P71" s="442"/>
      <c r="Q71" s="442"/>
    </row>
    <row r="72" spans="1:17" ht="13.5" hidden="1" customHeight="1">
      <c r="A72" s="442"/>
      <c r="B72" s="442"/>
      <c r="C72" s="442"/>
      <c r="D72" s="442"/>
      <c r="E72" s="442"/>
      <c r="F72" s="442"/>
      <c r="G72" s="442"/>
      <c r="H72" s="442"/>
      <c r="I72" s="442"/>
      <c r="J72" s="442"/>
      <c r="K72" s="442"/>
      <c r="L72" s="442"/>
      <c r="M72" s="442"/>
      <c r="N72" s="442"/>
      <c r="O72" s="442"/>
      <c r="P72" s="442"/>
      <c r="Q72" s="442"/>
    </row>
    <row r="73" spans="1:17" ht="13.5" hidden="1" customHeight="1">
      <c r="A73" s="442"/>
      <c r="B73" s="442"/>
      <c r="C73" s="442"/>
      <c r="D73" s="442"/>
      <c r="E73" s="442"/>
      <c r="F73" s="442"/>
      <c r="G73" s="442"/>
      <c r="H73" s="442"/>
      <c r="I73" s="442"/>
      <c r="J73" s="442"/>
      <c r="K73" s="442"/>
      <c r="L73" s="442"/>
      <c r="M73" s="442"/>
      <c r="N73" s="442"/>
      <c r="O73" s="442"/>
      <c r="P73" s="442"/>
      <c r="Q73" s="442"/>
    </row>
    <row r="74" spans="1:17" ht="13.5" hidden="1" customHeight="1">
      <c r="A74" s="442"/>
      <c r="B74" s="442"/>
      <c r="C74" s="442"/>
      <c r="D74" s="442"/>
      <c r="E74" s="442"/>
      <c r="F74" s="442"/>
      <c r="G74" s="442"/>
      <c r="H74" s="442"/>
      <c r="I74" s="442"/>
      <c r="J74" s="442"/>
      <c r="K74" s="442"/>
      <c r="L74" s="442"/>
      <c r="M74" s="442"/>
      <c r="N74" s="442"/>
      <c r="O74" s="442"/>
      <c r="P74" s="442"/>
      <c r="Q74" s="442"/>
    </row>
    <row r="75" spans="1:17" ht="13.5" hidden="1" customHeight="1">
      <c r="A75" s="442"/>
      <c r="B75" s="442"/>
      <c r="C75" s="442"/>
      <c r="D75" s="442"/>
      <c r="E75" s="442"/>
      <c r="F75" s="442"/>
      <c r="G75" s="442"/>
      <c r="H75" s="442"/>
      <c r="I75" s="442"/>
      <c r="J75" s="442"/>
      <c r="K75" s="442"/>
      <c r="L75" s="442"/>
      <c r="M75" s="442"/>
      <c r="N75" s="442"/>
      <c r="O75" s="442"/>
      <c r="P75" s="442"/>
      <c r="Q75" s="442"/>
    </row>
    <row r="76" spans="1:17" ht="13.5" hidden="1" customHeight="1">
      <c r="A76" s="442"/>
      <c r="B76" s="442"/>
      <c r="C76" s="442"/>
      <c r="D76" s="442"/>
      <c r="E76" s="442"/>
      <c r="F76" s="442"/>
      <c r="G76" s="442"/>
      <c r="H76" s="442"/>
      <c r="I76" s="442"/>
      <c r="J76" s="442"/>
      <c r="K76" s="442"/>
      <c r="L76" s="442"/>
      <c r="M76" s="442"/>
      <c r="N76" s="442"/>
      <c r="O76" s="442"/>
      <c r="P76" s="442"/>
      <c r="Q76" s="442"/>
    </row>
    <row r="77" spans="1:17" ht="13.5" hidden="1" customHeight="1">
      <c r="A77" s="442"/>
      <c r="B77" s="442"/>
      <c r="C77" s="442"/>
      <c r="D77" s="442"/>
      <c r="E77" s="442"/>
      <c r="F77" s="442"/>
      <c r="G77" s="442"/>
      <c r="H77" s="442"/>
      <c r="I77" s="442"/>
      <c r="J77" s="442"/>
      <c r="K77" s="442"/>
      <c r="L77" s="442"/>
      <c r="M77" s="442"/>
      <c r="N77" s="442"/>
      <c r="O77" s="442"/>
      <c r="P77" s="442"/>
      <c r="Q77" s="442"/>
    </row>
    <row r="78" spans="1:17" ht="13.5" hidden="1" customHeight="1">
      <c r="A78" s="442"/>
      <c r="B78" s="442"/>
      <c r="C78" s="442"/>
      <c r="D78" s="442"/>
      <c r="E78" s="442"/>
      <c r="F78" s="442"/>
      <c r="G78" s="442"/>
      <c r="H78" s="442"/>
      <c r="I78" s="442"/>
      <c r="J78" s="442"/>
      <c r="K78" s="442"/>
      <c r="L78" s="442"/>
      <c r="M78" s="442"/>
      <c r="N78" s="442"/>
      <c r="O78" s="442"/>
      <c r="P78" s="442"/>
      <c r="Q78" s="442"/>
    </row>
    <row r="79" spans="1:17" ht="13.5" hidden="1" customHeight="1">
      <c r="A79" s="442"/>
      <c r="B79" s="442"/>
      <c r="C79" s="442"/>
      <c r="D79" s="442"/>
      <c r="E79" s="442"/>
      <c r="F79" s="442"/>
      <c r="G79" s="442"/>
      <c r="H79" s="442"/>
      <c r="I79" s="442"/>
      <c r="J79" s="442"/>
      <c r="K79" s="442"/>
      <c r="L79" s="442"/>
      <c r="M79" s="442"/>
      <c r="N79" s="442"/>
      <c r="O79" s="442"/>
      <c r="P79" s="442"/>
      <c r="Q79" s="442"/>
    </row>
    <row r="80" spans="1:17" ht="13.5" hidden="1" customHeight="1">
      <c r="A80" s="442"/>
      <c r="B80" s="442"/>
      <c r="C80" s="442"/>
      <c r="D80" s="442"/>
      <c r="E80" s="442"/>
      <c r="F80" s="442"/>
      <c r="G80" s="442"/>
      <c r="H80" s="442"/>
      <c r="I80" s="442"/>
      <c r="J80" s="442"/>
      <c r="K80" s="442"/>
      <c r="L80" s="442"/>
      <c r="M80" s="442"/>
      <c r="N80" s="442"/>
      <c r="O80" s="442"/>
      <c r="P80" s="442"/>
      <c r="Q80" s="442"/>
    </row>
    <row r="81" spans="1:17" ht="13.5" customHeight="1">
      <c r="A81" s="442"/>
      <c r="B81" s="442"/>
      <c r="C81" s="442"/>
      <c r="D81" s="442"/>
      <c r="E81" s="442"/>
      <c r="F81" s="442"/>
      <c r="G81" s="442"/>
      <c r="H81" s="442"/>
      <c r="I81" s="442"/>
      <c r="J81" s="442"/>
      <c r="K81" s="442"/>
      <c r="L81" s="442"/>
      <c r="M81" s="442"/>
      <c r="N81" s="442"/>
      <c r="O81" s="442"/>
      <c r="P81" s="442"/>
      <c r="Q81" s="442"/>
    </row>
    <row r="82" spans="1:17" ht="15.75" customHeight="1"/>
    <row r="83" spans="1:17" ht="15.75" customHeight="1"/>
    <row r="84" spans="1:17" ht="15.75" customHeight="1"/>
    <row r="85" spans="1:17" ht="15.75" customHeight="1"/>
    <row r="86" spans="1:17" ht="15.75" customHeight="1"/>
    <row r="87" spans="1:17" ht="15.75" customHeight="1"/>
    <row r="88" spans="1:17" ht="15.75" customHeight="1"/>
    <row r="89" spans="1:17" ht="15.75" customHeight="1"/>
    <row r="90" spans="1:17" ht="15.75" customHeight="1"/>
    <row r="91" spans="1:17" ht="15.75" customHeight="1"/>
    <row r="92" spans="1:17" ht="15.75" customHeight="1"/>
    <row r="93" spans="1:17" ht="15.75" customHeight="1"/>
    <row r="94" spans="1:17" ht="15.75" customHeight="1"/>
    <row r="95" spans="1:17" ht="15.75" customHeight="1"/>
    <row r="96" spans="1:1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O2:P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  <outlinePr summaryBelow="0" summaryRight="0"/>
  </sheetPr>
  <dimension ref="A1:Z1000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41" customWidth="1"/>
    <col min="2" max="2" width="12.28515625" customWidth="1"/>
    <col min="3" max="3" width="2.42578125" customWidth="1"/>
    <col min="4" max="8" width="12.28515625" customWidth="1"/>
    <col min="9" max="9" width="5" customWidth="1"/>
    <col min="10" max="10" width="32.42578125" hidden="1" customWidth="1"/>
    <col min="11" max="11" width="17.85546875" hidden="1" customWidth="1"/>
    <col min="12" max="12" width="10" hidden="1" customWidth="1"/>
    <col min="13" max="26" width="17.28515625" customWidth="1"/>
  </cols>
  <sheetData>
    <row r="1" spans="1:26" ht="14.25" customHeight="1">
      <c r="A1" s="443" t="s">
        <v>241</v>
      </c>
      <c r="B1" s="1"/>
      <c r="C1" s="1"/>
      <c r="D1" s="401"/>
      <c r="E1" s="401"/>
      <c r="F1" s="1"/>
      <c r="G1" s="1"/>
      <c r="H1" s="1"/>
      <c r="I1" s="1"/>
    </row>
    <row r="2" spans="1:26" ht="13.5" customHeight="1">
      <c r="A2" s="3"/>
      <c r="B2" s="3"/>
      <c r="C2" s="3"/>
      <c r="D2" s="3"/>
      <c r="E2" s="3"/>
      <c r="F2" s="3"/>
      <c r="G2" s="3"/>
      <c r="H2" s="585"/>
      <c r="I2" s="2"/>
    </row>
    <row r="3" spans="1:26" ht="55.5" customHeight="1">
      <c r="A3" s="192"/>
      <c r="B3" s="586" t="s">
        <v>79</v>
      </c>
      <c r="C3" s="587" t="s">
        <v>165</v>
      </c>
      <c r="D3" s="588" t="s">
        <v>242</v>
      </c>
      <c r="E3" s="589" t="s">
        <v>243</v>
      </c>
      <c r="F3" s="589" t="s">
        <v>244</v>
      </c>
      <c r="G3" s="589" t="s">
        <v>245</v>
      </c>
      <c r="H3" s="590" t="s">
        <v>246</v>
      </c>
      <c r="I3" s="2"/>
    </row>
    <row r="4" spans="1:26" ht="15.75" customHeight="1">
      <c r="A4" s="451" t="s">
        <v>16</v>
      </c>
      <c r="B4" s="591" t="s">
        <v>79</v>
      </c>
      <c r="C4" s="592"/>
      <c r="D4" s="593"/>
      <c r="E4" s="594"/>
      <c r="F4" s="595"/>
      <c r="G4" s="595"/>
      <c r="H4" s="596"/>
      <c r="I4" s="414"/>
      <c r="J4" s="597" t="str">
        <f t="shared" ref="J4:J11" si="0">A4</f>
        <v>Residential</v>
      </c>
      <c r="K4" s="598" t="s">
        <v>247</v>
      </c>
      <c r="L4" s="599" t="s">
        <v>248</v>
      </c>
      <c r="M4" s="415"/>
      <c r="N4" s="415"/>
      <c r="O4" s="415"/>
      <c r="P4" s="415"/>
      <c r="Q4" s="415"/>
      <c r="R4" s="415"/>
      <c r="S4" s="415"/>
      <c r="T4" s="415"/>
      <c r="U4" s="415"/>
      <c r="V4" s="415"/>
      <c r="W4" s="415"/>
      <c r="X4" s="415"/>
      <c r="Y4" s="415"/>
      <c r="Z4" s="415"/>
    </row>
    <row r="5" spans="1:26" ht="15.75" customHeight="1">
      <c r="A5" s="416" t="s">
        <v>170</v>
      </c>
      <c r="B5" s="600">
        <f>Costs!B5</f>
        <v>0</v>
      </c>
      <c r="C5" s="601"/>
      <c r="D5" s="537">
        <f>Value!D5*$K$5</f>
        <v>29050</v>
      </c>
      <c r="E5" s="602">
        <f t="shared" ref="E5:E11" si="1">ROUND(B5*D5,-3)</f>
        <v>0</v>
      </c>
      <c r="F5" s="602">
        <f>ROUND(L5*B5,-3)</f>
        <v>0</v>
      </c>
      <c r="G5" s="602"/>
      <c r="H5" s="602">
        <f t="shared" ref="H5:H11" si="2">F5*10</f>
        <v>0</v>
      </c>
      <c r="I5" s="414"/>
      <c r="J5" s="530" t="str">
        <f t="shared" si="0"/>
        <v xml:space="preserve"> - Affordable Podium Apartments </v>
      </c>
      <c r="K5" s="603">
        <v>0.83</v>
      </c>
      <c r="L5" s="604">
        <v>-2000</v>
      </c>
      <c r="M5" s="415"/>
      <c r="N5" s="415"/>
      <c r="O5" s="415"/>
      <c r="P5" s="415"/>
      <c r="Q5" s="415"/>
      <c r="R5" s="415"/>
      <c r="S5" s="415"/>
      <c r="T5" s="415"/>
      <c r="U5" s="415"/>
      <c r="V5" s="415"/>
      <c r="W5" s="415"/>
      <c r="X5" s="415"/>
      <c r="Y5" s="415"/>
      <c r="Z5" s="415"/>
    </row>
    <row r="6" spans="1:26" ht="15.75" customHeight="1">
      <c r="A6" s="416" t="s">
        <v>171</v>
      </c>
      <c r="B6" s="600">
        <f>Costs!B6</f>
        <v>220</v>
      </c>
      <c r="C6" s="601"/>
      <c r="D6" s="537">
        <f>Value!D6*$K$6</f>
        <v>92130</v>
      </c>
      <c r="E6" s="602">
        <f t="shared" si="1"/>
        <v>20269000</v>
      </c>
      <c r="F6" s="602">
        <f>ROUND(E6*L6,-3)</f>
        <v>152000</v>
      </c>
      <c r="G6" s="602"/>
      <c r="H6" s="602">
        <f t="shared" si="2"/>
        <v>1520000</v>
      </c>
      <c r="I6" s="416"/>
      <c r="J6" s="530" t="str">
        <f t="shared" si="0"/>
        <v xml:space="preserve"> - Market-Rate Podium Apartments </v>
      </c>
      <c r="K6" s="603">
        <v>0.83</v>
      </c>
      <c r="L6" s="605">
        <v>7.4999999999999997E-3</v>
      </c>
      <c r="M6" s="415"/>
      <c r="N6" s="415"/>
      <c r="O6" s="415"/>
      <c r="P6" s="415"/>
      <c r="Q6" s="415"/>
      <c r="R6" s="415"/>
      <c r="S6" s="415"/>
      <c r="T6" s="415"/>
      <c r="U6" s="415"/>
      <c r="V6" s="415"/>
      <c r="W6" s="415"/>
      <c r="X6" s="415"/>
      <c r="Y6" s="415"/>
      <c r="Z6" s="415"/>
    </row>
    <row r="7" spans="1:26" ht="15.75" customHeight="1">
      <c r="A7" s="416" t="s">
        <v>172</v>
      </c>
      <c r="B7" s="600">
        <f>Costs!B7</f>
        <v>0</v>
      </c>
      <c r="C7" s="601"/>
      <c r="D7" s="537">
        <f>Value!D7*$K$7</f>
        <v>56440</v>
      </c>
      <c r="E7" s="602">
        <f t="shared" si="1"/>
        <v>0</v>
      </c>
      <c r="F7" s="602">
        <f>ROUND(L7*B7,-3)</f>
        <v>0</v>
      </c>
      <c r="G7" s="602"/>
      <c r="H7" s="602">
        <f t="shared" si="2"/>
        <v>0</v>
      </c>
      <c r="I7" s="416"/>
      <c r="J7" s="530" t="str">
        <f t="shared" si="0"/>
        <v xml:space="preserve"> - Affordable Townhouses</v>
      </c>
      <c r="K7" s="603">
        <v>0.83</v>
      </c>
      <c r="L7" s="604">
        <v>-2400</v>
      </c>
      <c r="M7" s="415"/>
      <c r="N7" s="415"/>
      <c r="O7" s="415"/>
      <c r="P7" s="415"/>
      <c r="Q7" s="415"/>
      <c r="R7" s="415"/>
      <c r="S7" s="415"/>
      <c r="T7" s="415"/>
      <c r="U7" s="415"/>
      <c r="V7" s="415"/>
      <c r="W7" s="415"/>
      <c r="X7" s="415"/>
      <c r="Y7" s="415"/>
      <c r="Z7" s="415"/>
    </row>
    <row r="8" spans="1:26" ht="15.75" customHeight="1">
      <c r="A8" s="416" t="s">
        <v>173</v>
      </c>
      <c r="B8" s="600">
        <f>Costs!B8</f>
        <v>0</v>
      </c>
      <c r="C8" s="601"/>
      <c r="D8" s="537">
        <f>Value!D8*$K$8</f>
        <v>175960</v>
      </c>
      <c r="E8" s="602">
        <f t="shared" si="1"/>
        <v>0</v>
      </c>
      <c r="F8" s="602">
        <f t="shared" ref="F8:F11" si="3">ROUND(E8*L8,-3)</f>
        <v>0</v>
      </c>
      <c r="G8" s="602"/>
      <c r="H8" s="602">
        <f t="shared" si="2"/>
        <v>0</v>
      </c>
      <c r="I8" s="416"/>
      <c r="J8" s="530" t="str">
        <f t="shared" si="0"/>
        <v xml:space="preserve"> - Market-Rate Townhouses</v>
      </c>
      <c r="K8" s="603">
        <v>0.83</v>
      </c>
      <c r="L8" s="605">
        <v>7.4999999999999997E-3</v>
      </c>
      <c r="M8" s="415"/>
      <c r="N8" s="415"/>
      <c r="O8" s="415"/>
      <c r="P8" s="415"/>
      <c r="Q8" s="415"/>
      <c r="R8" s="415"/>
      <c r="S8" s="415"/>
      <c r="T8" s="415"/>
      <c r="U8" s="415"/>
      <c r="V8" s="415"/>
      <c r="W8" s="415"/>
      <c r="X8" s="415"/>
      <c r="Y8" s="415"/>
      <c r="Z8" s="415"/>
    </row>
    <row r="9" spans="1:26" ht="15.75" customHeight="1">
      <c r="A9" s="416" t="s">
        <v>19</v>
      </c>
      <c r="B9" s="600">
        <f>Costs!B9</f>
        <v>48</v>
      </c>
      <c r="C9" s="601"/>
      <c r="D9" s="537">
        <f>Value!D9*$K$9</f>
        <v>224100</v>
      </c>
      <c r="E9" s="602">
        <f t="shared" si="1"/>
        <v>10757000</v>
      </c>
      <c r="F9" s="602">
        <f t="shared" si="3"/>
        <v>75000</v>
      </c>
      <c r="G9" s="602"/>
      <c r="H9" s="602">
        <f t="shared" si="2"/>
        <v>750000</v>
      </c>
      <c r="I9" s="416"/>
      <c r="J9" s="530" t="str">
        <f t="shared" si="0"/>
        <v xml:space="preserve"> - Luxury High Rise Condos</v>
      </c>
      <c r="K9" s="603">
        <v>0.83</v>
      </c>
      <c r="L9" s="605">
        <v>7.0000000000000001E-3</v>
      </c>
      <c r="M9" s="415"/>
      <c r="N9" s="415"/>
      <c r="O9" s="415"/>
      <c r="P9" s="415"/>
      <c r="Q9" s="415"/>
      <c r="R9" s="415"/>
      <c r="S9" s="415"/>
      <c r="T9" s="415"/>
      <c r="U9" s="415"/>
      <c r="V9" s="415"/>
      <c r="W9" s="415"/>
      <c r="X9" s="415"/>
      <c r="Y9" s="415"/>
      <c r="Z9" s="415"/>
    </row>
    <row r="10" spans="1:26" ht="15.75" customHeight="1">
      <c r="A10" s="416" t="s">
        <v>174</v>
      </c>
      <c r="B10" s="600">
        <f>Costs!B10</f>
        <v>120</v>
      </c>
      <c r="C10" s="601"/>
      <c r="D10" s="537">
        <f>Value!D10*$K$10</f>
        <v>0</v>
      </c>
      <c r="E10" s="602">
        <f t="shared" si="1"/>
        <v>0</v>
      </c>
      <c r="F10" s="602">
        <f t="shared" si="3"/>
        <v>0</v>
      </c>
      <c r="G10" s="602"/>
      <c r="H10" s="602">
        <f t="shared" si="2"/>
        <v>0</v>
      </c>
      <c r="I10" s="416"/>
      <c r="J10" s="530" t="str">
        <f t="shared" si="0"/>
        <v xml:space="preserve"> - Phoenix Hotel/Homeless Shelter</v>
      </c>
      <c r="K10" s="606">
        <v>0</v>
      </c>
      <c r="L10" s="605">
        <v>5.0000000000000001E-3</v>
      </c>
      <c r="M10" s="415"/>
      <c r="N10" s="415"/>
      <c r="O10" s="415"/>
      <c r="P10" s="415"/>
      <c r="Q10" s="415"/>
      <c r="R10" s="415"/>
      <c r="S10" s="415"/>
      <c r="T10" s="415"/>
      <c r="U10" s="415"/>
      <c r="V10" s="415"/>
      <c r="W10" s="415"/>
      <c r="X10" s="415"/>
      <c r="Y10" s="415"/>
      <c r="Z10" s="415"/>
    </row>
    <row r="11" spans="1:26" ht="15.75" customHeight="1">
      <c r="A11" s="416" t="s">
        <v>175</v>
      </c>
      <c r="B11" s="600">
        <f>Costs!B11</f>
        <v>120</v>
      </c>
      <c r="C11" s="601"/>
      <c r="D11" s="537">
        <f>Value!D11*$K$11</f>
        <v>0</v>
      </c>
      <c r="E11" s="602">
        <f t="shared" si="1"/>
        <v>0</v>
      </c>
      <c r="F11" s="602">
        <f t="shared" si="3"/>
        <v>0</v>
      </c>
      <c r="G11" s="602"/>
      <c r="H11" s="602">
        <f t="shared" si="2"/>
        <v>0</v>
      </c>
      <c r="I11" s="416"/>
      <c r="J11" s="530" t="str">
        <f t="shared" si="0"/>
        <v xml:space="preserve"> - New Homeless Shelter</v>
      </c>
      <c r="K11" s="606">
        <v>0</v>
      </c>
      <c r="L11" s="605">
        <v>5.0000000000000001E-3</v>
      </c>
      <c r="M11" s="415"/>
      <c r="N11" s="415"/>
      <c r="O11" s="415"/>
      <c r="P11" s="415"/>
      <c r="Q11" s="415"/>
      <c r="R11" s="415"/>
      <c r="S11" s="415"/>
      <c r="T11" s="415"/>
      <c r="U11" s="415"/>
      <c r="V11" s="415"/>
      <c r="W11" s="415"/>
      <c r="X11" s="415"/>
      <c r="Y11" s="415"/>
      <c r="Z11" s="415"/>
    </row>
    <row r="12" spans="1:26" ht="15.75" customHeight="1">
      <c r="A12" s="407" t="s">
        <v>21</v>
      </c>
      <c r="B12" s="607" t="s">
        <v>87</v>
      </c>
      <c r="C12" s="608"/>
      <c r="D12" s="609"/>
      <c r="E12" s="610"/>
      <c r="F12" s="610"/>
      <c r="G12" s="611"/>
      <c r="H12" s="612"/>
      <c r="I12" s="416"/>
      <c r="J12" s="597" t="s">
        <v>21</v>
      </c>
      <c r="K12" s="598" t="str">
        <f t="shared" ref="K12:L12" si="4">K4</f>
        <v>Assessed Value Ratio</v>
      </c>
      <c r="L12" s="599" t="str">
        <f t="shared" si="4"/>
        <v>Tax Rate</v>
      </c>
      <c r="M12" s="415"/>
      <c r="N12" s="415"/>
      <c r="O12" s="415"/>
      <c r="P12" s="415"/>
      <c r="Q12" s="415"/>
      <c r="R12" s="415"/>
      <c r="S12" s="415"/>
      <c r="T12" s="415"/>
      <c r="U12" s="415"/>
      <c r="V12" s="415"/>
      <c r="W12" s="415"/>
      <c r="X12" s="415"/>
      <c r="Y12" s="415"/>
      <c r="Z12" s="415"/>
    </row>
    <row r="13" spans="1:26" ht="15.75" customHeight="1">
      <c r="A13" s="416" t="s">
        <v>177</v>
      </c>
      <c r="B13" s="600">
        <f>Costs!B13</f>
        <v>0</v>
      </c>
      <c r="C13" s="601"/>
      <c r="D13" s="537">
        <f>Value!D13*$K13</f>
        <v>99.6</v>
      </c>
      <c r="E13" s="602">
        <f t="shared" ref="E13:E17" si="5">ROUND(B13*D13,-3)</f>
        <v>0</v>
      </c>
      <c r="F13" s="602">
        <f t="shared" ref="F13:F17" si="6">ROUND(E13*L13,-3)</f>
        <v>0</v>
      </c>
      <c r="G13" s="602"/>
      <c r="H13" s="602">
        <f t="shared" ref="H13:H17" si="7">F13*10</f>
        <v>0</v>
      </c>
      <c r="I13" s="416"/>
      <c r="J13" s="530" t="str">
        <f t="shared" ref="J13:J29" si="8">A13</f>
        <v xml:space="preserve"> - Office: Phoenix Hotel</v>
      </c>
      <c r="K13" s="603">
        <f>K17</f>
        <v>0.83</v>
      </c>
      <c r="L13" s="605">
        <v>7.4999999999999997E-3</v>
      </c>
      <c r="M13" s="415"/>
      <c r="N13" s="415"/>
      <c r="O13" s="415"/>
      <c r="P13" s="415"/>
      <c r="Q13" s="415"/>
      <c r="R13" s="415"/>
      <c r="S13" s="415"/>
      <c r="T13" s="415"/>
      <c r="U13" s="415"/>
      <c r="V13" s="415"/>
      <c r="W13" s="415"/>
      <c r="X13" s="415"/>
      <c r="Y13" s="415"/>
      <c r="Z13" s="415"/>
    </row>
    <row r="14" spans="1:26" ht="15.75" customHeight="1">
      <c r="A14" s="416" t="s">
        <v>178</v>
      </c>
      <c r="B14" s="600">
        <f>Costs!B14</f>
        <v>16500</v>
      </c>
      <c r="C14" s="601"/>
      <c r="D14" s="537">
        <f>Value!D14*$K14</f>
        <v>97.94</v>
      </c>
      <c r="E14" s="602">
        <f t="shared" si="5"/>
        <v>1616000</v>
      </c>
      <c r="F14" s="602">
        <f t="shared" si="6"/>
        <v>11000</v>
      </c>
      <c r="G14" s="602"/>
      <c r="H14" s="602">
        <f t="shared" si="7"/>
        <v>110000</v>
      </c>
      <c r="I14" s="416"/>
      <c r="J14" s="530" t="str">
        <f t="shared" si="8"/>
        <v xml:space="preserve"> - Office: York Dry Goods</v>
      </c>
      <c r="K14" s="603">
        <f t="shared" ref="K14:K15" si="9">K13</f>
        <v>0.83</v>
      </c>
      <c r="L14" s="605">
        <v>6.4999999999999997E-3</v>
      </c>
      <c r="M14" s="415"/>
      <c r="N14" s="415"/>
      <c r="O14" s="415"/>
      <c r="P14" s="415"/>
      <c r="Q14" s="415"/>
      <c r="R14" s="415"/>
      <c r="S14" s="415"/>
      <c r="T14" s="415"/>
      <c r="U14" s="415"/>
      <c r="V14" s="415"/>
      <c r="W14" s="415"/>
      <c r="X14" s="415"/>
      <c r="Y14" s="415"/>
      <c r="Z14" s="415"/>
    </row>
    <row r="15" spans="1:26" ht="15.75" customHeight="1">
      <c r="A15" s="416" t="s">
        <v>179</v>
      </c>
      <c r="B15" s="600">
        <f>Costs!B15</f>
        <v>42000</v>
      </c>
      <c r="C15" s="601"/>
      <c r="D15" s="537">
        <f>Value!D15*$K15</f>
        <v>97.94</v>
      </c>
      <c r="E15" s="602">
        <f t="shared" si="5"/>
        <v>4113000</v>
      </c>
      <c r="F15" s="602">
        <f t="shared" si="6"/>
        <v>27000</v>
      </c>
      <c r="G15" s="602"/>
      <c r="H15" s="602">
        <f t="shared" si="7"/>
        <v>270000</v>
      </c>
      <c r="I15" s="416"/>
      <c r="J15" s="530" t="str">
        <f t="shared" si="8"/>
        <v xml:space="preserve"> - Office: Victorian Row</v>
      </c>
      <c r="K15" s="603">
        <f t="shared" si="9"/>
        <v>0.83</v>
      </c>
      <c r="L15" s="605">
        <v>6.4999999999999997E-3</v>
      </c>
      <c r="M15" s="415"/>
      <c r="N15" s="415"/>
      <c r="O15" s="415"/>
      <c r="P15" s="415"/>
      <c r="Q15" s="415"/>
      <c r="R15" s="415"/>
      <c r="S15" s="415"/>
      <c r="T15" s="415"/>
      <c r="U15" s="415"/>
      <c r="V15" s="415"/>
      <c r="W15" s="415"/>
      <c r="X15" s="415"/>
      <c r="Y15" s="415"/>
      <c r="Z15" s="415"/>
    </row>
    <row r="16" spans="1:26" ht="15.75" customHeight="1">
      <c r="A16" s="416" t="s">
        <v>180</v>
      </c>
      <c r="B16" s="600">
        <f>Costs!B16</f>
        <v>180000</v>
      </c>
      <c r="C16" s="601"/>
      <c r="D16" s="537">
        <f>Value!D16*$K16</f>
        <v>135.39374999999998</v>
      </c>
      <c r="E16" s="602">
        <f t="shared" si="5"/>
        <v>24371000</v>
      </c>
      <c r="F16" s="602">
        <f t="shared" si="6"/>
        <v>183000</v>
      </c>
      <c r="G16" s="602"/>
      <c r="H16" s="602">
        <f t="shared" si="7"/>
        <v>1830000</v>
      </c>
      <c r="I16" s="416"/>
      <c r="J16" s="530" t="str">
        <f t="shared" si="8"/>
        <v xml:space="preserve"> - Low-Rise Office Building</v>
      </c>
      <c r="K16" s="603">
        <v>0.83</v>
      </c>
      <c r="L16" s="605">
        <v>7.4999999999999997E-3</v>
      </c>
      <c r="M16" s="415"/>
      <c r="N16" s="415"/>
      <c r="O16" s="415"/>
      <c r="P16" s="415"/>
      <c r="Q16" s="415"/>
      <c r="R16" s="415"/>
      <c r="S16" s="415"/>
      <c r="T16" s="415"/>
      <c r="U16" s="415"/>
      <c r="V16" s="415"/>
      <c r="W16" s="415"/>
      <c r="X16" s="415"/>
      <c r="Y16" s="415"/>
      <c r="Z16" s="415"/>
    </row>
    <row r="17" spans="1:26" ht="15.75" customHeight="1">
      <c r="A17" s="416" t="s">
        <v>25</v>
      </c>
      <c r="B17" s="600">
        <f>Costs!B17</f>
        <v>240000</v>
      </c>
      <c r="C17" s="601"/>
      <c r="D17" s="537">
        <f>Value!D17*$K17</f>
        <v>201.15050000000002</v>
      </c>
      <c r="E17" s="602">
        <f t="shared" si="5"/>
        <v>48276000</v>
      </c>
      <c r="F17" s="602">
        <f t="shared" si="6"/>
        <v>362000</v>
      </c>
      <c r="G17" s="602"/>
      <c r="H17" s="602">
        <f t="shared" si="7"/>
        <v>3620000</v>
      </c>
      <c r="I17" s="416"/>
      <c r="J17" s="530" t="str">
        <f t="shared" si="8"/>
        <v xml:space="preserve"> - Mid-Rise Office Building</v>
      </c>
      <c r="K17" s="603">
        <f>K16</f>
        <v>0.83</v>
      </c>
      <c r="L17" s="605">
        <v>7.4999999999999997E-3</v>
      </c>
      <c r="M17" s="415"/>
      <c r="N17" s="415"/>
      <c r="O17" s="415"/>
      <c r="P17" s="415"/>
      <c r="Q17" s="415"/>
      <c r="R17" s="415"/>
      <c r="S17" s="415"/>
      <c r="T17" s="415"/>
      <c r="U17" s="415"/>
      <c r="V17" s="415"/>
      <c r="W17" s="415"/>
      <c r="X17" s="415"/>
      <c r="Y17" s="415"/>
      <c r="Z17" s="415"/>
    </row>
    <row r="18" spans="1:26" ht="15.75" customHeight="1">
      <c r="A18" s="407" t="s">
        <v>26</v>
      </c>
      <c r="B18" s="607" t="str">
        <f>Costs!B18</f>
        <v>Building SF</v>
      </c>
      <c r="C18" s="608"/>
      <c r="D18" s="609"/>
      <c r="E18" s="610"/>
      <c r="F18" s="610"/>
      <c r="G18" s="611"/>
      <c r="H18" s="612"/>
      <c r="I18" s="416"/>
      <c r="J18" s="597" t="str">
        <f t="shared" si="8"/>
        <v>Retail</v>
      </c>
      <c r="K18" s="598" t="str">
        <f t="shared" ref="K18:L18" si="10">K12</f>
        <v>Assessed Value Ratio</v>
      </c>
      <c r="L18" s="599" t="str">
        <f t="shared" si="10"/>
        <v>Tax Rate</v>
      </c>
      <c r="M18" s="415"/>
      <c r="N18" s="415"/>
      <c r="O18" s="415"/>
      <c r="P18" s="415"/>
      <c r="Q18" s="415"/>
      <c r="R18" s="415"/>
      <c r="S18" s="415"/>
      <c r="T18" s="415"/>
      <c r="U18" s="415"/>
      <c r="V18" s="415"/>
      <c r="W18" s="415"/>
      <c r="X18" s="415"/>
      <c r="Y18" s="415"/>
      <c r="Z18" s="415"/>
    </row>
    <row r="19" spans="1:26" ht="15.75" customHeight="1">
      <c r="A19" s="416" t="s">
        <v>181</v>
      </c>
      <c r="B19" s="600">
        <f>Costs!B19</f>
        <v>0</v>
      </c>
      <c r="C19" s="601"/>
      <c r="D19" s="537">
        <f>Value!D19*K19</f>
        <v>130</v>
      </c>
      <c r="E19" s="602">
        <f t="shared" ref="E19:E24" si="11">ROUND(B19*D19,-3)</f>
        <v>0</v>
      </c>
      <c r="F19" s="602">
        <f t="shared" ref="F19:F24" si="12">ROUND(E19*L19,-3)</f>
        <v>0</v>
      </c>
      <c r="G19" s="602"/>
      <c r="H19" s="602">
        <f t="shared" ref="H19:H24" si="13">F19*10</f>
        <v>0</v>
      </c>
      <c r="I19" s="416"/>
      <c r="J19" s="530" t="str">
        <f t="shared" si="8"/>
        <v xml:space="preserve"> - Retail: Phoenix Hotel</v>
      </c>
      <c r="K19" s="606">
        <v>1</v>
      </c>
      <c r="L19" s="605">
        <v>0.02</v>
      </c>
      <c r="M19" s="415"/>
      <c r="N19" s="415"/>
      <c r="O19" s="415"/>
      <c r="P19" s="415"/>
      <c r="Q19" s="415"/>
      <c r="R19" s="415"/>
      <c r="S19" s="415"/>
      <c r="T19" s="415"/>
      <c r="U19" s="415"/>
      <c r="V19" s="415"/>
      <c r="W19" s="415"/>
      <c r="X19" s="415"/>
      <c r="Y19" s="415"/>
      <c r="Z19" s="415"/>
    </row>
    <row r="20" spans="1:26" ht="15.75" customHeight="1">
      <c r="A20" s="416" t="s">
        <v>182</v>
      </c>
      <c r="B20" s="600">
        <f>Costs!B20</f>
        <v>12000</v>
      </c>
      <c r="C20" s="601"/>
      <c r="D20" s="537">
        <f>Value!D20*K20</f>
        <v>125</v>
      </c>
      <c r="E20" s="602">
        <f t="shared" si="11"/>
        <v>1500000</v>
      </c>
      <c r="F20" s="602">
        <f t="shared" si="12"/>
        <v>30000</v>
      </c>
      <c r="G20" s="602"/>
      <c r="H20" s="602">
        <f t="shared" si="13"/>
        <v>300000</v>
      </c>
      <c r="I20" s="416"/>
      <c r="J20" s="530" t="str">
        <f t="shared" si="8"/>
        <v xml:space="preserve"> - Retail: York Dry Goods</v>
      </c>
      <c r="K20" s="606">
        <v>1</v>
      </c>
      <c r="L20" s="605">
        <v>0.02</v>
      </c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415"/>
      <c r="Z20" s="415"/>
    </row>
    <row r="21" spans="1:26" ht="15.75" customHeight="1">
      <c r="A21" s="416" t="s">
        <v>183</v>
      </c>
      <c r="B21" s="600">
        <f>Costs!B21</f>
        <v>18000</v>
      </c>
      <c r="C21" s="601"/>
      <c r="D21" s="537">
        <f>Value!D21*K21</f>
        <v>125</v>
      </c>
      <c r="E21" s="602">
        <f t="shared" si="11"/>
        <v>2250000</v>
      </c>
      <c r="F21" s="602">
        <f t="shared" si="12"/>
        <v>45000</v>
      </c>
      <c r="G21" s="602"/>
      <c r="H21" s="602">
        <f t="shared" si="13"/>
        <v>450000</v>
      </c>
      <c r="I21" s="416"/>
      <c r="J21" s="530" t="str">
        <f t="shared" si="8"/>
        <v xml:space="preserve"> - Retail: Victorian Row</v>
      </c>
      <c r="K21" s="606">
        <v>1</v>
      </c>
      <c r="L21" s="605">
        <v>0.02</v>
      </c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415"/>
      <c r="Z21" s="415"/>
    </row>
    <row r="22" spans="1:26" ht="15.75" customHeight="1">
      <c r="A22" s="416" t="s">
        <v>27</v>
      </c>
      <c r="B22" s="600">
        <f>Costs!B22</f>
        <v>25000</v>
      </c>
      <c r="C22" s="601"/>
      <c r="D22" s="537">
        <f>Value!D22*K22</f>
        <v>130</v>
      </c>
      <c r="E22" s="602">
        <f t="shared" si="11"/>
        <v>3250000</v>
      </c>
      <c r="F22" s="602">
        <f t="shared" si="12"/>
        <v>65000</v>
      </c>
      <c r="G22" s="602"/>
      <c r="H22" s="602">
        <f t="shared" si="13"/>
        <v>650000</v>
      </c>
      <c r="I22" s="416"/>
      <c r="J22" s="530" t="str">
        <f t="shared" si="8"/>
        <v xml:space="preserve"> - Neighborhood Retail</v>
      </c>
      <c r="K22" s="606">
        <v>1</v>
      </c>
      <c r="L22" s="605">
        <v>0.02</v>
      </c>
      <c r="M22" s="415"/>
      <c r="N22" s="415"/>
      <c r="O22" s="415"/>
      <c r="P22" s="415"/>
      <c r="Q22" s="415"/>
      <c r="R22" s="415"/>
      <c r="S22" s="415"/>
      <c r="T22" s="415"/>
      <c r="U22" s="415"/>
      <c r="V22" s="415"/>
      <c r="W22" s="415"/>
      <c r="X22" s="415"/>
      <c r="Y22" s="415"/>
      <c r="Z22" s="415"/>
    </row>
    <row r="23" spans="1:26" ht="15.75" customHeight="1">
      <c r="A23" s="416" t="s">
        <v>201</v>
      </c>
      <c r="B23" s="600">
        <f>Costs!B23</f>
        <v>40000</v>
      </c>
      <c r="C23" s="601"/>
      <c r="D23" s="537">
        <f>Value!D23*K23</f>
        <v>124.08499999999999</v>
      </c>
      <c r="E23" s="602">
        <f t="shared" si="11"/>
        <v>4963000</v>
      </c>
      <c r="F23" s="602">
        <f t="shared" si="12"/>
        <v>50000</v>
      </c>
      <c r="G23" s="602"/>
      <c r="H23" s="602">
        <f t="shared" si="13"/>
        <v>500000</v>
      </c>
      <c r="I23" s="416"/>
      <c r="J23" s="530" t="str">
        <f t="shared" si="8"/>
        <v xml:space="preserve"> - Supermarket </v>
      </c>
      <c r="K23" s="603">
        <f>K15</f>
        <v>0.83</v>
      </c>
      <c r="L23" s="605">
        <v>0.01</v>
      </c>
      <c r="M23" s="415"/>
      <c r="N23" s="415"/>
      <c r="O23" s="415"/>
      <c r="P23" s="415"/>
      <c r="Q23" s="415"/>
      <c r="R23" s="415"/>
      <c r="S23" s="415"/>
      <c r="T23" s="415"/>
      <c r="U23" s="415"/>
      <c r="V23" s="415"/>
      <c r="W23" s="415"/>
      <c r="X23" s="415"/>
      <c r="Y23" s="415"/>
      <c r="Z23" s="415"/>
    </row>
    <row r="24" spans="1:26" ht="15.75" customHeight="1">
      <c r="A24" s="416" t="s">
        <v>96</v>
      </c>
      <c r="B24" s="600">
        <f>Costs!B24</f>
        <v>0</v>
      </c>
      <c r="C24" s="601"/>
      <c r="D24" s="537">
        <f>Value!D24*K24</f>
        <v>162.5</v>
      </c>
      <c r="E24" s="602">
        <f t="shared" si="11"/>
        <v>0</v>
      </c>
      <c r="F24" s="602">
        <f t="shared" si="12"/>
        <v>0</v>
      </c>
      <c r="G24" s="602"/>
      <c r="H24" s="602">
        <f t="shared" si="13"/>
        <v>0</v>
      </c>
      <c r="I24" s="416"/>
      <c r="J24" s="530" t="str">
        <f t="shared" si="8"/>
        <v xml:space="preserve"> - Q-Mart</v>
      </c>
      <c r="K24" s="606">
        <v>1</v>
      </c>
      <c r="L24" s="605">
        <v>1.4999999999999999E-2</v>
      </c>
      <c r="M24" s="415"/>
      <c r="N24" s="415"/>
      <c r="O24" s="415"/>
      <c r="P24" s="415"/>
      <c r="Q24" s="415"/>
      <c r="R24" s="415"/>
      <c r="S24" s="415"/>
      <c r="T24" s="415"/>
      <c r="U24" s="415"/>
      <c r="V24" s="415"/>
      <c r="W24" s="415"/>
      <c r="X24" s="415"/>
      <c r="Y24" s="415"/>
      <c r="Z24" s="415"/>
    </row>
    <row r="25" spans="1:26" ht="15.75" customHeight="1">
      <c r="A25" s="407" t="s">
        <v>184</v>
      </c>
      <c r="B25" s="607" t="str">
        <f>Costs!B25</f>
        <v>Building SF</v>
      </c>
      <c r="C25" s="608"/>
      <c r="D25" s="609"/>
      <c r="E25" s="610"/>
      <c r="F25" s="610"/>
      <c r="G25" s="611"/>
      <c r="H25" s="612"/>
      <c r="I25" s="416"/>
      <c r="J25" s="597" t="str">
        <f t="shared" si="8"/>
        <v>Community Facilities</v>
      </c>
      <c r="K25" s="598" t="str">
        <f t="shared" ref="K25:L25" si="14">K18</f>
        <v>Assessed Value Ratio</v>
      </c>
      <c r="L25" s="599" t="str">
        <f t="shared" si="14"/>
        <v>Tax Rate</v>
      </c>
      <c r="M25" s="415"/>
      <c r="N25" s="415"/>
      <c r="O25" s="415"/>
      <c r="P25" s="415"/>
      <c r="Q25" s="415"/>
      <c r="R25" s="415"/>
      <c r="S25" s="415"/>
      <c r="T25" s="415"/>
      <c r="U25" s="415"/>
      <c r="V25" s="415"/>
      <c r="W25" s="415"/>
      <c r="X25" s="415"/>
      <c r="Y25" s="415"/>
      <c r="Z25" s="415"/>
    </row>
    <row r="26" spans="1:26" ht="15.75" customHeight="1">
      <c r="A26" s="416" t="s">
        <v>249</v>
      </c>
      <c r="B26" s="448">
        <f>SUM('Use Allocation'!D25:D35)</f>
        <v>19500</v>
      </c>
      <c r="C26" s="601"/>
      <c r="D26" s="537">
        <f>Value!D26*K26</f>
        <v>0</v>
      </c>
      <c r="E26" s="602">
        <f t="shared" ref="E26:E28" si="15">ROUND(B26*D26,-3)</f>
        <v>0</v>
      </c>
      <c r="F26" s="602">
        <f t="shared" ref="F26:F28" si="16">ROUND(E26*L26,-3)</f>
        <v>0</v>
      </c>
      <c r="G26" s="602">
        <f>ROUND((Value!D26*'City Revenue'!B26)/10,-3)*0.75</f>
        <v>102750</v>
      </c>
      <c r="H26" s="602">
        <f>-G26*10</f>
        <v>-1027500</v>
      </c>
      <c r="I26" s="613"/>
      <c r="J26" s="530" t="str">
        <f t="shared" si="8"/>
        <v xml:space="preserve"> - York Dry Goods (City subsidized)</v>
      </c>
      <c r="K26" s="606">
        <v>0</v>
      </c>
      <c r="L26" s="605">
        <v>0.01</v>
      </c>
      <c r="M26" s="415"/>
      <c r="N26" s="415"/>
      <c r="O26" s="415"/>
      <c r="P26" s="415"/>
      <c r="Q26" s="415"/>
      <c r="R26" s="415"/>
      <c r="S26" s="415"/>
      <c r="T26" s="415"/>
      <c r="U26" s="415"/>
      <c r="V26" s="415"/>
      <c r="W26" s="415"/>
      <c r="X26" s="415"/>
      <c r="Y26" s="415"/>
      <c r="Z26" s="415"/>
    </row>
    <row r="27" spans="1:26" ht="15.75" customHeight="1">
      <c r="A27" s="416" t="s">
        <v>250</v>
      </c>
      <c r="B27" s="448">
        <f>'Use Allocation'!D36+'Use Allocation'!D37</f>
        <v>0</v>
      </c>
      <c r="C27" s="601"/>
      <c r="D27" s="537">
        <f>Value!D27*K27</f>
        <v>0</v>
      </c>
      <c r="E27" s="602">
        <f t="shared" si="15"/>
        <v>0</v>
      </c>
      <c r="F27" s="602">
        <f t="shared" si="16"/>
        <v>0</v>
      </c>
      <c r="G27" s="602"/>
      <c r="H27" s="602">
        <f t="shared" ref="H27:H28" si="17">F27*10</f>
        <v>0</v>
      </c>
      <c r="I27" s="613"/>
      <c r="J27" s="530" t="str">
        <f t="shared" si="8"/>
        <v xml:space="preserve"> - York Dry Goods (Not Subsidized)</v>
      </c>
      <c r="K27" s="606">
        <v>1</v>
      </c>
      <c r="L27" s="605">
        <v>0.01</v>
      </c>
      <c r="M27" s="415"/>
      <c r="N27" s="415"/>
      <c r="O27" s="415"/>
      <c r="P27" s="415"/>
      <c r="Q27" s="415"/>
      <c r="R27" s="415"/>
      <c r="S27" s="415"/>
      <c r="T27" s="415"/>
      <c r="U27" s="415"/>
      <c r="V27" s="415"/>
      <c r="W27" s="415"/>
      <c r="X27" s="415"/>
      <c r="Y27" s="415"/>
      <c r="Z27" s="415"/>
    </row>
    <row r="28" spans="1:26" ht="15.75" customHeight="1">
      <c r="A28" s="416" t="s">
        <v>238</v>
      </c>
      <c r="B28" s="448">
        <f>Costs!B28</f>
        <v>0</v>
      </c>
      <c r="C28" s="601"/>
      <c r="D28" s="537">
        <f>Value!D28*K28</f>
        <v>0</v>
      </c>
      <c r="E28" s="602">
        <f t="shared" si="15"/>
        <v>0</v>
      </c>
      <c r="F28" s="602">
        <f t="shared" si="16"/>
        <v>0</v>
      </c>
      <c r="G28" s="602"/>
      <c r="H28" s="602">
        <f t="shared" si="17"/>
        <v>0</v>
      </c>
      <c r="I28" s="416"/>
      <c r="J28" s="530" t="str">
        <f t="shared" si="8"/>
        <v xml:space="preserve"> - Victorian Row: Univ. Offices and/or Artist Studios</v>
      </c>
      <c r="K28" s="606">
        <v>0</v>
      </c>
      <c r="L28" s="605">
        <v>0.01</v>
      </c>
      <c r="M28" s="415"/>
      <c r="N28" s="415"/>
      <c r="O28" s="415"/>
      <c r="P28" s="415"/>
      <c r="Q28" s="415"/>
      <c r="R28" s="415"/>
      <c r="S28" s="415"/>
      <c r="T28" s="415"/>
      <c r="U28" s="415"/>
      <c r="V28" s="415"/>
      <c r="W28" s="415"/>
      <c r="X28" s="415"/>
      <c r="Y28" s="415"/>
      <c r="Z28" s="415"/>
    </row>
    <row r="29" spans="1:26" ht="15.75" customHeight="1">
      <c r="A29" s="407" t="s">
        <v>34</v>
      </c>
      <c r="B29" s="607" t="str">
        <f>Costs!B29</f>
        <v>Total SF</v>
      </c>
      <c r="C29" s="608"/>
      <c r="D29" s="609"/>
      <c r="E29" s="610"/>
      <c r="F29" s="610"/>
      <c r="G29" s="611"/>
      <c r="H29" s="612"/>
      <c r="I29" s="416"/>
      <c r="J29" s="597" t="str">
        <f t="shared" si="8"/>
        <v>Amenities</v>
      </c>
      <c r="K29" s="598"/>
      <c r="L29" s="599" t="str">
        <f>L4</f>
        <v>Tax Rate</v>
      </c>
      <c r="M29" s="415"/>
      <c r="N29" s="415"/>
      <c r="O29" s="415"/>
      <c r="P29" s="415"/>
      <c r="Q29" s="415"/>
      <c r="R29" s="415"/>
      <c r="S29" s="415"/>
      <c r="T29" s="415"/>
      <c r="U29" s="415"/>
      <c r="V29" s="415"/>
      <c r="W29" s="415"/>
      <c r="X29" s="415"/>
      <c r="Y29" s="415"/>
      <c r="Z29" s="415"/>
    </row>
    <row r="30" spans="1:26" ht="15.75" customHeight="1">
      <c r="A30" s="416" t="s">
        <v>35</v>
      </c>
      <c r="B30" s="448">
        <f>Costs!B30</f>
        <v>15000</v>
      </c>
      <c r="C30" s="601"/>
      <c r="D30" s="537">
        <v>0</v>
      </c>
      <c r="E30" s="602">
        <f t="shared" ref="E30:E32" si="18">ROUND(B30*D30,-3)</f>
        <v>0</v>
      </c>
      <c r="F30" s="602">
        <f>Costs!E30*L30*-1</f>
        <v>-14985</v>
      </c>
      <c r="G30" s="602"/>
      <c r="H30" s="602">
        <f t="shared" ref="H30:H32" si="19">F30*10</f>
        <v>-149850</v>
      </c>
      <c r="I30" s="414"/>
      <c r="J30" s="530" t="s">
        <v>35</v>
      </c>
      <c r="K30" s="606"/>
      <c r="L30" s="605">
        <v>2.7E-2</v>
      </c>
      <c r="M30" s="415"/>
      <c r="N30" s="415"/>
      <c r="O30" s="415"/>
      <c r="P30" s="415"/>
      <c r="Q30" s="415"/>
      <c r="R30" s="415"/>
      <c r="S30" s="415"/>
      <c r="T30" s="415"/>
      <c r="U30" s="415"/>
      <c r="V30" s="415"/>
      <c r="W30" s="415"/>
      <c r="X30" s="415"/>
      <c r="Y30" s="415"/>
      <c r="Z30" s="415"/>
    </row>
    <row r="31" spans="1:26" ht="15.75" customHeight="1">
      <c r="A31" s="416" t="s">
        <v>36</v>
      </c>
      <c r="B31" s="448">
        <f>Costs!B31</f>
        <v>10000</v>
      </c>
      <c r="C31" s="601"/>
      <c r="D31" s="537">
        <v>0</v>
      </c>
      <c r="E31" s="602">
        <f t="shared" si="18"/>
        <v>0</v>
      </c>
      <c r="F31" s="602">
        <f>Costs!E31*L31*-1</f>
        <v>-9750</v>
      </c>
      <c r="G31" s="602"/>
      <c r="H31" s="602">
        <f t="shared" si="19"/>
        <v>-97500</v>
      </c>
      <c r="I31" s="416"/>
      <c r="J31" s="552" t="s">
        <v>36</v>
      </c>
      <c r="K31" s="606"/>
      <c r="L31" s="605">
        <v>2.5000000000000001E-2</v>
      </c>
      <c r="M31" s="415"/>
      <c r="N31" s="415"/>
      <c r="O31" s="415"/>
      <c r="P31" s="415"/>
      <c r="Q31" s="415"/>
      <c r="R31" s="415"/>
      <c r="S31" s="415"/>
      <c r="T31" s="415"/>
      <c r="U31" s="415"/>
      <c r="V31" s="415"/>
      <c r="W31" s="415"/>
      <c r="X31" s="415"/>
      <c r="Y31" s="415"/>
      <c r="Z31" s="415"/>
    </row>
    <row r="32" spans="1:26" ht="15.75" customHeight="1">
      <c r="A32" s="416" t="s">
        <v>37</v>
      </c>
      <c r="B32" s="448">
        <f>Costs!B32</f>
        <v>10000</v>
      </c>
      <c r="C32" s="601"/>
      <c r="D32" s="537">
        <v>0</v>
      </c>
      <c r="E32" s="602">
        <f t="shared" si="18"/>
        <v>0</v>
      </c>
      <c r="F32" s="602">
        <f>Costs!E32*L32*-1</f>
        <v>-15000</v>
      </c>
      <c r="G32" s="602"/>
      <c r="H32" s="602">
        <f t="shared" si="19"/>
        <v>-150000</v>
      </c>
      <c r="I32" s="416"/>
      <c r="J32" s="552" t="s">
        <v>37</v>
      </c>
      <c r="K32" s="606"/>
      <c r="L32" s="605">
        <v>2.5000000000000001E-2</v>
      </c>
      <c r="M32" s="415"/>
      <c r="N32" s="415"/>
      <c r="O32" s="415"/>
      <c r="P32" s="415"/>
      <c r="Q32" s="415"/>
      <c r="R32" s="415"/>
      <c r="S32" s="415"/>
      <c r="T32" s="415"/>
      <c r="U32" s="415"/>
      <c r="V32" s="415"/>
      <c r="W32" s="415"/>
      <c r="X32" s="415"/>
      <c r="Y32" s="415"/>
      <c r="Z32" s="415"/>
    </row>
    <row r="33" spans="1:26" ht="15.75" customHeight="1">
      <c r="A33" s="407" t="s">
        <v>105</v>
      </c>
      <c r="B33" s="607" t="str">
        <f>Costs!B35</f>
        <v>Total Spaces</v>
      </c>
      <c r="C33" s="608"/>
      <c r="D33" s="609"/>
      <c r="E33" s="610"/>
      <c r="F33" s="610"/>
      <c r="G33" s="611"/>
      <c r="H33" s="612"/>
      <c r="I33" s="416"/>
      <c r="J33" s="597" t="str">
        <f t="shared" ref="J33:J39" si="20">A33</f>
        <v>Parking</v>
      </c>
      <c r="K33" s="614" t="str">
        <f t="shared" ref="K33:L33" si="21">K25</f>
        <v>Assessed Value Ratio</v>
      </c>
      <c r="L33" s="599" t="str">
        <f t="shared" si="21"/>
        <v>Tax Rate</v>
      </c>
      <c r="M33" s="415"/>
      <c r="N33" s="415"/>
      <c r="O33" s="415"/>
      <c r="P33" s="415"/>
      <c r="Q33" s="415"/>
      <c r="R33" s="415"/>
      <c r="S33" s="415"/>
      <c r="T33" s="415"/>
      <c r="U33" s="415"/>
      <c r="V33" s="415"/>
      <c r="W33" s="415"/>
      <c r="X33" s="415"/>
      <c r="Y33" s="415"/>
      <c r="Z33" s="415"/>
    </row>
    <row r="34" spans="1:26" ht="15.75" customHeight="1">
      <c r="A34" s="416" t="s">
        <v>191</v>
      </c>
      <c r="B34" s="600">
        <f>Costs!B36</f>
        <v>0</v>
      </c>
      <c r="C34" s="601"/>
      <c r="D34" s="537"/>
      <c r="E34" s="602"/>
      <c r="F34" s="602"/>
      <c r="G34" s="602"/>
      <c r="H34" s="602"/>
      <c r="I34" s="416"/>
      <c r="J34" s="530" t="str">
        <f t="shared" si="20"/>
        <v xml:space="preserve"> - Residential Parking: Included In Structure</v>
      </c>
      <c r="K34" s="606">
        <v>0</v>
      </c>
      <c r="L34" s="605">
        <v>0.01</v>
      </c>
      <c r="M34" s="415"/>
      <c r="N34" s="415"/>
      <c r="O34" s="415"/>
      <c r="P34" s="415"/>
      <c r="Q34" s="415"/>
      <c r="R34" s="415"/>
      <c r="S34" s="415"/>
      <c r="T34" s="415"/>
      <c r="U34" s="415"/>
      <c r="V34" s="415"/>
      <c r="W34" s="415"/>
      <c r="X34" s="415"/>
      <c r="Y34" s="415"/>
      <c r="Z34" s="415"/>
    </row>
    <row r="35" spans="1:26" ht="15.75" customHeight="1">
      <c r="A35" s="416" t="s">
        <v>192</v>
      </c>
      <c r="B35" s="600">
        <f>Costs!B37</f>
        <v>75</v>
      </c>
      <c r="C35" s="601"/>
      <c r="D35" s="537"/>
      <c r="E35" s="602"/>
      <c r="F35" s="602"/>
      <c r="G35" s="602"/>
      <c r="H35" s="602"/>
      <c r="I35" s="416"/>
      <c r="J35" s="530" t="str">
        <f t="shared" si="20"/>
        <v xml:space="preserve"> - Neighborhood Retail Surface Parking</v>
      </c>
      <c r="K35" s="606">
        <v>0</v>
      </c>
      <c r="L35" s="605">
        <v>0.01</v>
      </c>
      <c r="M35" s="415"/>
      <c r="N35" s="415"/>
      <c r="O35" s="415"/>
      <c r="P35" s="415"/>
      <c r="Q35" s="415"/>
      <c r="R35" s="415"/>
      <c r="S35" s="415"/>
      <c r="T35" s="415"/>
      <c r="U35" s="415"/>
      <c r="V35" s="415"/>
      <c r="W35" s="415"/>
      <c r="X35" s="415"/>
      <c r="Y35" s="415"/>
      <c r="Z35" s="415"/>
    </row>
    <row r="36" spans="1:26" ht="15.75" customHeight="1">
      <c r="A36" s="416" t="s">
        <v>193</v>
      </c>
      <c r="B36" s="600">
        <f>Costs!B38</f>
        <v>360</v>
      </c>
      <c r="C36" s="601"/>
      <c r="D36" s="537"/>
      <c r="E36" s="602"/>
      <c r="F36" s="602"/>
      <c r="G36" s="602"/>
      <c r="H36" s="602"/>
      <c r="I36" s="416"/>
      <c r="J36" s="530" t="str">
        <f t="shared" si="20"/>
        <v xml:space="preserve"> - Low-Rise Office Structured Parking (3 levels)</v>
      </c>
      <c r="K36" s="606">
        <v>0</v>
      </c>
      <c r="L36" s="605">
        <v>0.01</v>
      </c>
      <c r="M36" s="415"/>
      <c r="N36" s="415"/>
      <c r="O36" s="415"/>
      <c r="P36" s="415"/>
      <c r="Q36" s="415"/>
      <c r="R36" s="415"/>
      <c r="S36" s="415"/>
      <c r="T36" s="415"/>
      <c r="U36" s="415"/>
      <c r="V36" s="415"/>
      <c r="W36" s="415"/>
      <c r="X36" s="415"/>
      <c r="Y36" s="415"/>
      <c r="Z36" s="415"/>
    </row>
    <row r="37" spans="1:26" ht="15.75" customHeight="1">
      <c r="A37" s="416" t="s">
        <v>194</v>
      </c>
      <c r="B37" s="600">
        <f>Costs!B39</f>
        <v>480</v>
      </c>
      <c r="C37" s="601"/>
      <c r="D37" s="537"/>
      <c r="E37" s="602"/>
      <c r="F37" s="602"/>
      <c r="G37" s="602"/>
      <c r="H37" s="602"/>
      <c r="I37" s="416"/>
      <c r="J37" s="530" t="str">
        <f t="shared" si="20"/>
        <v xml:space="preserve"> - Mid-Rise Office Structured Parking (5 levels)</v>
      </c>
      <c r="K37" s="606">
        <v>0</v>
      </c>
      <c r="L37" s="605">
        <v>0.01</v>
      </c>
      <c r="M37" s="415"/>
      <c r="N37" s="415"/>
      <c r="O37" s="415"/>
      <c r="P37" s="415"/>
      <c r="Q37" s="415"/>
      <c r="R37" s="415"/>
      <c r="S37" s="415"/>
      <c r="T37" s="415"/>
      <c r="U37" s="415"/>
      <c r="V37" s="415"/>
      <c r="W37" s="415"/>
      <c r="X37" s="415"/>
      <c r="Y37" s="415"/>
      <c r="Z37" s="415"/>
    </row>
    <row r="38" spans="1:26" ht="15.75" customHeight="1">
      <c r="A38" s="416" t="s">
        <v>222</v>
      </c>
      <c r="B38" s="600">
        <f>Costs!B40</f>
        <v>160</v>
      </c>
      <c r="C38" s="601"/>
      <c r="D38" s="537"/>
      <c r="E38" s="602"/>
      <c r="F38" s="602"/>
      <c r="G38" s="602"/>
      <c r="H38" s="602"/>
      <c r="I38" s="416"/>
      <c r="J38" s="530" t="str">
        <f t="shared" si="20"/>
        <v xml:space="preserve"> - Supermarket Parking </v>
      </c>
      <c r="K38" s="606">
        <v>0</v>
      </c>
      <c r="L38" s="605">
        <v>0.01</v>
      </c>
      <c r="M38" s="415"/>
      <c r="N38" s="415"/>
      <c r="O38" s="415"/>
      <c r="P38" s="415"/>
      <c r="Q38" s="415"/>
      <c r="R38" s="415"/>
      <c r="S38" s="415"/>
      <c r="T38" s="415"/>
      <c r="U38" s="415"/>
      <c r="V38" s="415"/>
      <c r="W38" s="415"/>
      <c r="X38" s="415"/>
      <c r="Y38" s="415"/>
      <c r="Z38" s="415"/>
    </row>
    <row r="39" spans="1:26" ht="15.75" customHeight="1">
      <c r="A39" s="416" t="s">
        <v>196</v>
      </c>
      <c r="B39" s="600">
        <f>Costs!B41</f>
        <v>0</v>
      </c>
      <c r="C39" s="601"/>
      <c r="D39" s="537"/>
      <c r="E39" s="602"/>
      <c r="F39" s="602"/>
      <c r="G39" s="602"/>
      <c r="H39" s="602"/>
      <c r="I39" s="416"/>
      <c r="J39" s="615" t="str">
        <f t="shared" si="20"/>
        <v xml:space="preserve"> - Q-Mart Structured Parking</v>
      </c>
      <c r="K39" s="616">
        <v>0</v>
      </c>
      <c r="L39" s="617">
        <v>0.01</v>
      </c>
      <c r="M39" s="415"/>
      <c r="N39" s="415"/>
      <c r="O39" s="415"/>
      <c r="P39" s="415"/>
      <c r="Q39" s="415"/>
      <c r="R39" s="415"/>
      <c r="S39" s="415"/>
      <c r="T39" s="415"/>
      <c r="U39" s="415"/>
      <c r="V39" s="415"/>
      <c r="W39" s="415"/>
      <c r="X39" s="415"/>
      <c r="Y39" s="415"/>
      <c r="Z39" s="415"/>
    </row>
    <row r="40" spans="1:26" ht="15.75" customHeight="1">
      <c r="A40" s="407" t="s">
        <v>251</v>
      </c>
      <c r="B40" s="618"/>
      <c r="C40" s="619"/>
      <c r="D40" s="560"/>
      <c r="E40" s="620">
        <f>SUM(E5:E39)</f>
        <v>121365000</v>
      </c>
      <c r="F40" s="620"/>
      <c r="G40" s="563"/>
      <c r="H40" s="621"/>
      <c r="I40" s="416"/>
      <c r="J40" s="415"/>
      <c r="K40" s="415"/>
      <c r="L40" s="415"/>
      <c r="M40" s="415"/>
      <c r="N40" s="415"/>
      <c r="O40" s="415"/>
      <c r="P40" s="415"/>
      <c r="Q40" s="415"/>
      <c r="R40" s="415"/>
      <c r="S40" s="415"/>
      <c r="T40" s="415"/>
      <c r="U40" s="415"/>
      <c r="V40" s="415"/>
      <c r="W40" s="415"/>
      <c r="X40" s="415"/>
      <c r="Y40" s="415"/>
      <c r="Z40" s="415"/>
    </row>
    <row r="41" spans="1:26" ht="15.75" customHeight="1">
      <c r="A41" s="433" t="s">
        <v>252</v>
      </c>
      <c r="B41" s="622"/>
      <c r="C41" s="623"/>
      <c r="D41" s="624"/>
      <c r="E41" s="625"/>
      <c r="F41" s="625">
        <f>SUM(F5:F40)</f>
        <v>960265</v>
      </c>
      <c r="G41" s="415"/>
      <c r="H41" s="602">
        <f>SUM(H5:H40)</f>
        <v>8575150</v>
      </c>
      <c r="I41" s="414"/>
      <c r="J41" s="415"/>
      <c r="K41" s="415"/>
      <c r="L41" s="415"/>
      <c r="M41" s="415"/>
      <c r="N41" s="415"/>
      <c r="O41" s="415"/>
      <c r="P41" s="415"/>
      <c r="Q41" s="415"/>
      <c r="R41" s="415"/>
      <c r="S41" s="415"/>
      <c r="T41" s="415"/>
      <c r="U41" s="415"/>
      <c r="V41" s="415"/>
      <c r="W41" s="415"/>
      <c r="X41" s="415"/>
      <c r="Y41" s="415"/>
      <c r="Z41" s="415"/>
    </row>
    <row r="42" spans="1:26" ht="15.75" customHeight="1">
      <c r="A42" s="416"/>
      <c r="B42" s="576"/>
      <c r="C42" s="576"/>
      <c r="D42" s="577"/>
      <c r="E42" s="626" t="s">
        <v>253</v>
      </c>
      <c r="F42" s="627"/>
      <c r="G42" s="627"/>
      <c r="H42" s="625">
        <f>Value!H42</f>
        <v>7500000</v>
      </c>
      <c r="I42" s="414"/>
      <c r="J42" s="415"/>
      <c r="K42" s="415"/>
      <c r="L42" s="415"/>
      <c r="M42" s="415"/>
      <c r="N42" s="415"/>
      <c r="O42" s="415"/>
      <c r="P42" s="415"/>
      <c r="Q42" s="415"/>
      <c r="R42" s="415"/>
      <c r="S42" s="415"/>
      <c r="T42" s="415"/>
      <c r="U42" s="415"/>
      <c r="V42" s="415"/>
      <c r="W42" s="415"/>
      <c r="X42" s="415"/>
      <c r="Y42" s="415"/>
      <c r="Z42" s="415"/>
    </row>
    <row r="43" spans="1:26" ht="15.75" customHeight="1">
      <c r="A43" s="565"/>
      <c r="B43" s="576"/>
      <c r="C43" s="576"/>
      <c r="D43" s="577"/>
      <c r="E43" s="626" t="s">
        <v>254</v>
      </c>
      <c r="F43" s="628"/>
      <c r="G43" s="628"/>
      <c r="H43" s="625">
        <f>SUM(H41:H42)</f>
        <v>16075150</v>
      </c>
      <c r="I43" s="414"/>
      <c r="J43" s="415"/>
      <c r="K43" s="415"/>
      <c r="L43" s="415"/>
      <c r="M43" s="415"/>
      <c r="N43" s="415"/>
      <c r="O43" s="415"/>
      <c r="P43" s="415"/>
      <c r="Q43" s="415"/>
      <c r="R43" s="415"/>
      <c r="S43" s="415"/>
      <c r="T43" s="415"/>
      <c r="U43" s="415"/>
      <c r="V43" s="415"/>
      <c r="W43" s="415"/>
      <c r="X43" s="415"/>
      <c r="Y43" s="415"/>
      <c r="Z43" s="415"/>
    </row>
    <row r="44" spans="1:26" ht="15.75" customHeight="1">
      <c r="A44" s="565"/>
      <c r="B44" s="576"/>
      <c r="C44" s="576"/>
      <c r="D44" s="577"/>
      <c r="E44" s="626" t="s">
        <v>255</v>
      </c>
      <c r="F44" s="628"/>
      <c r="G44" s="628"/>
      <c r="H44" s="629">
        <f>-Costs!I42</f>
        <v>-10000000</v>
      </c>
      <c r="I44" s="414"/>
      <c r="J44" s="415"/>
      <c r="K44" s="415"/>
      <c r="L44" s="415"/>
      <c r="M44" s="415"/>
      <c r="N44" s="415"/>
      <c r="O44" s="415"/>
      <c r="P44" s="415"/>
      <c r="Q44" s="415"/>
      <c r="R44" s="415"/>
      <c r="S44" s="415"/>
      <c r="T44" s="415"/>
      <c r="U44" s="415"/>
      <c r="V44" s="415"/>
      <c r="W44" s="415"/>
      <c r="X44" s="415"/>
      <c r="Y44" s="415"/>
      <c r="Z44" s="415"/>
    </row>
    <row r="45" spans="1:26" ht="15.75" customHeight="1">
      <c r="A45" s="565"/>
      <c r="B45" s="576"/>
      <c r="C45" s="576"/>
      <c r="D45" s="577"/>
      <c r="E45" s="626" t="s">
        <v>256</v>
      </c>
      <c r="F45" s="628"/>
      <c r="G45" s="628"/>
      <c r="H45" s="602">
        <f>-(Costs!I43-Costs!I42)</f>
        <v>-1066000</v>
      </c>
      <c r="I45" s="414"/>
      <c r="J45" s="415"/>
      <c r="K45" s="415"/>
      <c r="L45" s="415"/>
      <c r="M45" s="415"/>
      <c r="N45" s="415"/>
      <c r="O45" s="415"/>
      <c r="P45" s="415"/>
      <c r="Q45" s="415"/>
      <c r="R45" s="415"/>
      <c r="S45" s="415"/>
      <c r="T45" s="415"/>
      <c r="U45" s="415"/>
      <c r="V45" s="415"/>
      <c r="W45" s="415"/>
      <c r="X45" s="415"/>
      <c r="Y45" s="415"/>
      <c r="Z45" s="415"/>
    </row>
    <row r="46" spans="1:26" ht="15.75" customHeight="1">
      <c r="A46" s="565"/>
      <c r="B46" s="576"/>
      <c r="C46" s="576"/>
      <c r="D46" s="577"/>
      <c r="E46" s="626" t="s">
        <v>257</v>
      </c>
      <c r="F46" s="628"/>
      <c r="G46" s="628"/>
      <c r="H46" s="630">
        <f>H43+SUM(H44:H45)</f>
        <v>5009150</v>
      </c>
      <c r="I46" s="414"/>
      <c r="J46" s="415"/>
      <c r="K46" s="415"/>
      <c r="L46" s="415"/>
      <c r="M46" s="415"/>
      <c r="N46" s="415"/>
      <c r="O46" s="415"/>
      <c r="P46" s="415"/>
      <c r="Q46" s="415"/>
      <c r="R46" s="415"/>
      <c r="S46" s="415"/>
      <c r="T46" s="415"/>
      <c r="U46" s="415"/>
      <c r="V46" s="415"/>
      <c r="W46" s="415"/>
      <c r="X46" s="415"/>
      <c r="Y46" s="415"/>
      <c r="Z46" s="415"/>
    </row>
    <row r="47" spans="1:26" ht="15.75" customHeight="1">
      <c r="A47" s="415"/>
      <c r="B47" s="415"/>
      <c r="C47" s="415"/>
      <c r="D47" s="415"/>
      <c r="E47" s="415"/>
      <c r="F47" s="415"/>
      <c r="G47" s="415"/>
      <c r="H47" s="415"/>
      <c r="I47" s="415"/>
      <c r="J47" s="415"/>
      <c r="K47" s="415"/>
      <c r="L47" s="415"/>
      <c r="M47" s="415"/>
      <c r="N47" s="415"/>
      <c r="O47" s="415"/>
      <c r="P47" s="415"/>
      <c r="Q47" s="415"/>
      <c r="R47" s="415"/>
      <c r="S47" s="415"/>
      <c r="T47" s="415"/>
      <c r="U47" s="415"/>
      <c r="V47" s="415"/>
      <c r="W47" s="415"/>
      <c r="X47" s="415"/>
      <c r="Y47" s="415"/>
      <c r="Z47" s="415"/>
    </row>
    <row r="48" spans="1:26" ht="15.75" customHeight="1">
      <c r="A48" s="415"/>
      <c r="B48" s="415"/>
      <c r="C48" s="415"/>
      <c r="D48" s="415"/>
      <c r="E48" s="626" t="s">
        <v>258</v>
      </c>
      <c r="F48" s="628"/>
      <c r="G48" s="628"/>
      <c r="H48" s="631">
        <f>Costs!E34</f>
        <v>0</v>
      </c>
      <c r="I48" s="416"/>
      <c r="J48" s="552"/>
      <c r="K48" s="603"/>
      <c r="L48" s="632"/>
      <c r="M48" s="415"/>
      <c r="N48" s="415"/>
      <c r="O48" s="415"/>
      <c r="P48" s="415"/>
      <c r="Q48" s="415"/>
      <c r="R48" s="415"/>
      <c r="S48" s="415"/>
      <c r="T48" s="415"/>
      <c r="U48" s="415"/>
      <c r="V48" s="415"/>
      <c r="W48" s="415"/>
      <c r="X48" s="415"/>
      <c r="Y48" s="415"/>
      <c r="Z48" s="415"/>
    </row>
    <row r="49" ht="13.5" hidden="1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Instructions</vt:lpstr>
      <vt:lpstr>Input Summary</vt:lpstr>
      <vt:lpstr>Development by Block</vt:lpstr>
      <vt:lpstr>Use Allocation</vt:lpstr>
      <vt:lpstr>Costs</vt:lpstr>
      <vt:lpstr>Jobs</vt:lpstr>
      <vt:lpstr>Market</vt:lpstr>
      <vt:lpstr>Value</vt:lpstr>
      <vt:lpstr>City Revenue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Thornton</dc:creator>
  <cp:lastModifiedBy>Arian Mosavianpour</cp:lastModifiedBy>
  <dcterms:created xsi:type="dcterms:W3CDTF">2018-06-04T17:14:08Z</dcterms:created>
  <dcterms:modified xsi:type="dcterms:W3CDTF">2022-06-10T04:16:56Z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0x010100F09894908A4F674799999C4A2674B4A6</vt:lpwstr>
  </property>
</Properties>
</file>