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imarticus\project\"/>
    </mc:Choice>
  </mc:AlternateContent>
  <xr:revisionPtr revIDLastSave="0" documentId="13_ncr:1_{CF0917F7-8A39-41F1-BE47-FF9727A27D22}" xr6:coauthVersionLast="47" xr6:coauthVersionMax="47" xr10:uidLastSave="{00000000-0000-0000-0000-000000000000}"/>
  <bookViews>
    <workbookView xWindow="-120" yWindow="-120" windowWidth="20730" windowHeight="11160" xr2:uid="{014A7C5C-4C06-4E34-BF0E-4B23B3EF83E8}"/>
  </bookViews>
  <sheets>
    <sheet name="Revenue Segments" sheetId="6" r:id="rId1"/>
    <sheet name="Alphabet-IS" sheetId="7" r:id="rId2"/>
    <sheet name="Debt Schedule" sheetId="1" r:id="rId3"/>
    <sheet name="Extra Calculation" sheetId="8" r:id="rId4"/>
    <sheet name="Fixed Assets Schedule" sheetId="3" r:id="rId5"/>
    <sheet name="Alphabet-CFS" sheetId="2" r:id="rId6"/>
    <sheet name="Alphabet-BS" sheetId="4" r:id="rId7"/>
    <sheet name="DCF" sheetId="10" r:id="rId8"/>
    <sheet name="WACC" sheetId="11" r:id="rId9"/>
    <sheet name="BETA" sheetId="9" r:id="rId10"/>
    <sheet name="Football field Analysis" sheetId="13" r:id="rId11"/>
    <sheet name="Dupont Analysis" sheetId="14" r:id="rId12"/>
    <sheet name="Comparable Company Analysis " sheetId="12" r:id="rId13"/>
  </sheets>
  <externalReferences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4" l="1"/>
  <c r="D6" i="14"/>
  <c r="E6" i="14"/>
  <c r="B6" i="14"/>
  <c r="B20" i="14" s="1"/>
  <c r="A33" i="14"/>
  <c r="A28" i="14"/>
  <c r="A20" i="14"/>
  <c r="A19" i="14"/>
  <c r="A11" i="14"/>
  <c r="D20" i="14"/>
  <c r="C20" i="14"/>
  <c r="C18" i="10"/>
  <c r="C19" i="10"/>
  <c r="D19" i="10"/>
  <c r="E19" i="10" s="1"/>
  <c r="C20" i="10"/>
  <c r="E20" i="14" l="1"/>
  <c r="E20" i="10"/>
  <c r="F19" i="10"/>
  <c r="D20" i="10"/>
  <c r="G19" i="10" l="1"/>
  <c r="G20" i="10" s="1"/>
  <c r="F20" i="10"/>
  <c r="E11" i="13" l="1"/>
  <c r="E10" i="13"/>
  <c r="C10" i="13"/>
  <c r="E9" i="13"/>
  <c r="C9" i="13"/>
  <c r="C8" i="13"/>
  <c r="K13" i="12" l="1"/>
  <c r="K12" i="12"/>
  <c r="K10" i="12"/>
  <c r="K11" i="12"/>
  <c r="J9" i="12"/>
  <c r="Q27" i="12" s="1"/>
  <c r="G13" i="12"/>
  <c r="G12" i="12"/>
  <c r="G11" i="12"/>
  <c r="G10" i="12"/>
  <c r="G9" i="12"/>
  <c r="Q24" i="12" s="1"/>
  <c r="E11" i="12"/>
  <c r="E10" i="12"/>
  <c r="E9" i="12"/>
  <c r="T30" i="12" s="1"/>
  <c r="D13" i="12"/>
  <c r="D12" i="12"/>
  <c r="D11" i="12"/>
  <c r="D10" i="12"/>
  <c r="F10" i="12" s="1"/>
  <c r="D9" i="12"/>
  <c r="S24" i="12"/>
  <c r="R27" i="12" l="1"/>
  <c r="S27" i="12"/>
  <c r="F9" i="12"/>
  <c r="L10" i="12"/>
  <c r="T10" i="12" s="1"/>
  <c r="R30" i="12"/>
  <c r="F11" i="12"/>
  <c r="L11" i="12" s="1"/>
  <c r="R11" i="12" s="1"/>
  <c r="Q11" i="12"/>
  <c r="S30" i="12"/>
  <c r="R10" i="12"/>
  <c r="Q10" i="12"/>
  <c r="S10" i="12"/>
  <c r="R24" i="12"/>
  <c r="Q30" i="12"/>
  <c r="T11" i="12" l="1"/>
  <c r="S11" i="12"/>
  <c r="J31" i="10" l="1"/>
  <c r="K31" i="10" s="1"/>
  <c r="L31" i="10" s="1"/>
  <c r="I31" i="10"/>
  <c r="D54" i="10" l="1"/>
  <c r="D51" i="10"/>
  <c r="D50" i="10"/>
  <c r="D48" i="10"/>
  <c r="C5" i="10"/>
  <c r="J38" i="11" l="1"/>
  <c r="H33" i="11"/>
  <c r="E31" i="11"/>
  <c r="D32" i="11"/>
  <c r="D31" i="11"/>
  <c r="D30" i="11"/>
  <c r="D28" i="11"/>
  <c r="D33" i="11" s="1"/>
  <c r="D29" i="11"/>
  <c r="D27" i="11"/>
  <c r="F72" i="11"/>
  <c r="F73" i="11"/>
  <c r="F71" i="11"/>
  <c r="F32" i="11" s="1"/>
  <c r="F67" i="11"/>
  <c r="F68" i="11"/>
  <c r="F66" i="11"/>
  <c r="F31" i="11" s="1"/>
  <c r="F52" i="11"/>
  <c r="F53" i="11"/>
  <c r="F51" i="11"/>
  <c r="F28" i="11" s="1"/>
  <c r="F47" i="11"/>
  <c r="F48" i="11"/>
  <c r="F46" i="11"/>
  <c r="F27" i="11" s="1"/>
  <c r="D8" i="11" s="1"/>
  <c r="E58" i="11"/>
  <c r="F58" i="11" s="1"/>
  <c r="E57" i="11"/>
  <c r="F57" i="11" s="1"/>
  <c r="E56" i="11"/>
  <c r="E13" i="12" s="1"/>
  <c r="F13" i="12" s="1"/>
  <c r="L13" i="12" s="1"/>
  <c r="I31" i="11" l="1"/>
  <c r="E8" i="9" s="1"/>
  <c r="E32" i="11"/>
  <c r="G32" i="11" s="1"/>
  <c r="G31" i="11"/>
  <c r="T13" i="12"/>
  <c r="Q13" i="12"/>
  <c r="R13" i="12"/>
  <c r="S13" i="12"/>
  <c r="E28" i="11"/>
  <c r="F56" i="11"/>
  <c r="E27" i="11"/>
  <c r="E63" i="11"/>
  <c r="F63" i="11" s="1"/>
  <c r="E62" i="11"/>
  <c r="F62" i="11" s="1"/>
  <c r="E61" i="11"/>
  <c r="E12" i="12" l="1"/>
  <c r="F12" i="12" s="1"/>
  <c r="L12" i="12" s="1"/>
  <c r="F61" i="11"/>
  <c r="E29" i="11"/>
  <c r="F29" i="11"/>
  <c r="I28" i="11"/>
  <c r="G28" i="11"/>
  <c r="I32" i="11"/>
  <c r="E11" i="9" s="1"/>
  <c r="G27" i="11"/>
  <c r="D7" i="11"/>
  <c r="I27" i="11"/>
  <c r="E6" i="9" s="1"/>
  <c r="J17" i="11"/>
  <c r="J19" i="11" s="1"/>
  <c r="F7" i="11" s="1"/>
  <c r="G49" i="10"/>
  <c r="G50" i="10" s="1"/>
  <c r="G51" i="10" s="1"/>
  <c r="G48" i="10"/>
  <c r="F47" i="10"/>
  <c r="J46" i="10"/>
  <c r="K46" i="10" s="1"/>
  <c r="L46" i="10" s="1"/>
  <c r="I46" i="10"/>
  <c r="D38" i="10"/>
  <c r="D35" i="10"/>
  <c r="D34" i="10"/>
  <c r="F32" i="10"/>
  <c r="D32" i="10"/>
  <c r="D8" i="10"/>
  <c r="E8" i="10" s="1"/>
  <c r="F8" i="10" s="1"/>
  <c r="G8" i="10" s="1"/>
  <c r="G7" i="10"/>
  <c r="F7" i="10"/>
  <c r="E7" i="10"/>
  <c r="D7" i="10"/>
  <c r="D11" i="9"/>
  <c r="D10" i="9"/>
  <c r="D9" i="9"/>
  <c r="D8" i="9"/>
  <c r="D7" i="9"/>
  <c r="D6" i="9"/>
  <c r="C11" i="9"/>
  <c r="C10" i="9"/>
  <c r="C9" i="9"/>
  <c r="C8" i="9"/>
  <c r="C7" i="9"/>
  <c r="C6" i="9"/>
  <c r="G29" i="11" l="1"/>
  <c r="I29" i="11"/>
  <c r="E10" i="9" s="1"/>
  <c r="E7" i="9"/>
  <c r="E30" i="11"/>
  <c r="F30" i="11"/>
  <c r="F33" i="11"/>
  <c r="E33" i="11"/>
  <c r="Q12" i="12"/>
  <c r="R12" i="12"/>
  <c r="S12" i="12"/>
  <c r="T12" i="12"/>
  <c r="S19" i="12" l="1"/>
  <c r="S18" i="12"/>
  <c r="S17" i="12"/>
  <c r="S16" i="12"/>
  <c r="S15" i="12"/>
  <c r="S20" i="12"/>
  <c r="R20" i="12"/>
  <c r="R17" i="12"/>
  <c r="R18" i="12"/>
  <c r="R15" i="12"/>
  <c r="R16" i="12"/>
  <c r="R19" i="12"/>
  <c r="Q18" i="12"/>
  <c r="Q17" i="12"/>
  <c r="Q20" i="12"/>
  <c r="Q16" i="12"/>
  <c r="Q19" i="12"/>
  <c r="Q15" i="12"/>
  <c r="T18" i="12"/>
  <c r="T17" i="12"/>
  <c r="T20" i="12"/>
  <c r="T16" i="12"/>
  <c r="T19" i="12"/>
  <c r="T15" i="12"/>
  <c r="G30" i="11"/>
  <c r="G33" i="11" s="1"/>
  <c r="I30" i="11"/>
  <c r="D37" i="11"/>
  <c r="J37" i="11" s="1"/>
  <c r="G7" i="11"/>
  <c r="E9" i="9" l="1"/>
  <c r="I33" i="11"/>
  <c r="D36" i="11" s="1"/>
  <c r="J36" i="11" s="1"/>
  <c r="E18" i="11" l="1"/>
  <c r="E20" i="11" s="1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L237" i="9"/>
  <c r="L238" i="9"/>
  <c r="L239" i="9"/>
  <c r="L240" i="9"/>
  <c r="L241" i="9"/>
  <c r="L242" i="9"/>
  <c r="L243" i="9"/>
  <c r="L244" i="9"/>
  <c r="L245" i="9"/>
  <c r="L246" i="9"/>
  <c r="L247" i="9"/>
  <c r="L248" i="9"/>
  <c r="L249" i="9"/>
  <c r="L250" i="9"/>
  <c r="L251" i="9"/>
  <c r="L252" i="9"/>
  <c r="L253" i="9"/>
  <c r="L254" i="9"/>
  <c r="L255" i="9"/>
  <c r="L256" i="9"/>
  <c r="L257" i="9"/>
  <c r="L258" i="9"/>
  <c r="L259" i="9"/>
  <c r="L260" i="9"/>
  <c r="L261" i="9"/>
  <c r="L262" i="9"/>
  <c r="L263" i="9"/>
  <c r="L264" i="9"/>
  <c r="L265" i="9"/>
  <c r="L266" i="9"/>
  <c r="L267" i="9"/>
  <c r="L268" i="9"/>
  <c r="L269" i="9"/>
  <c r="L270" i="9"/>
  <c r="L271" i="9"/>
  <c r="L272" i="9"/>
  <c r="L273" i="9"/>
  <c r="L274" i="9"/>
  <c r="L27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5" i="9"/>
  <c r="T116" i="9"/>
  <c r="T117" i="9"/>
  <c r="T118" i="9"/>
  <c r="T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221" i="9"/>
  <c r="T222" i="9"/>
  <c r="T223" i="9"/>
  <c r="T224" i="9"/>
  <c r="T225" i="9"/>
  <c r="T226" i="9"/>
  <c r="T227" i="9"/>
  <c r="T228" i="9"/>
  <c r="T229" i="9"/>
  <c r="T230" i="9"/>
  <c r="T231" i="9"/>
  <c r="T232" i="9"/>
  <c r="T233" i="9"/>
  <c r="T234" i="9"/>
  <c r="T235" i="9"/>
  <c r="T236" i="9"/>
  <c r="T237" i="9"/>
  <c r="T238" i="9"/>
  <c r="T239" i="9"/>
  <c r="T240" i="9"/>
  <c r="T241" i="9"/>
  <c r="T242" i="9"/>
  <c r="T243" i="9"/>
  <c r="T244" i="9"/>
  <c r="T245" i="9"/>
  <c r="T246" i="9"/>
  <c r="T247" i="9"/>
  <c r="T248" i="9"/>
  <c r="T249" i="9"/>
  <c r="T250" i="9"/>
  <c r="T251" i="9"/>
  <c r="T252" i="9"/>
  <c r="T253" i="9"/>
  <c r="T254" i="9"/>
  <c r="T255" i="9"/>
  <c r="T256" i="9"/>
  <c r="T257" i="9"/>
  <c r="T258" i="9"/>
  <c r="T259" i="9"/>
  <c r="T260" i="9"/>
  <c r="T261" i="9"/>
  <c r="T262" i="9"/>
  <c r="T263" i="9"/>
  <c r="T264" i="9"/>
  <c r="T265" i="9"/>
  <c r="T266" i="9"/>
  <c r="T267" i="9"/>
  <c r="T268" i="9"/>
  <c r="T269" i="9"/>
  <c r="T270" i="9"/>
  <c r="T271" i="9"/>
  <c r="T272" i="9"/>
  <c r="T273" i="9"/>
  <c r="T274" i="9"/>
  <c r="T27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162" i="9"/>
  <c r="X163" i="9"/>
  <c r="X164" i="9"/>
  <c r="X165" i="9"/>
  <c r="X166" i="9"/>
  <c r="X167" i="9"/>
  <c r="X168" i="9"/>
  <c r="X169" i="9"/>
  <c r="X170" i="9"/>
  <c r="X171" i="9"/>
  <c r="X172" i="9"/>
  <c r="X173" i="9"/>
  <c r="X174" i="9"/>
  <c r="X175" i="9"/>
  <c r="X176" i="9"/>
  <c r="X177" i="9"/>
  <c r="X178" i="9"/>
  <c r="X179" i="9"/>
  <c r="X180" i="9"/>
  <c r="X181" i="9"/>
  <c r="X182" i="9"/>
  <c r="X183" i="9"/>
  <c r="X184" i="9"/>
  <c r="X185" i="9"/>
  <c r="X186" i="9"/>
  <c r="X187" i="9"/>
  <c r="X188" i="9"/>
  <c r="X189" i="9"/>
  <c r="X190" i="9"/>
  <c r="X191" i="9"/>
  <c r="X192" i="9"/>
  <c r="X193" i="9"/>
  <c r="X194" i="9"/>
  <c r="X195" i="9"/>
  <c r="X196" i="9"/>
  <c r="X197" i="9"/>
  <c r="X198" i="9"/>
  <c r="X199" i="9"/>
  <c r="X200" i="9"/>
  <c r="X201" i="9"/>
  <c r="X202" i="9"/>
  <c r="X203" i="9"/>
  <c r="X204" i="9"/>
  <c r="X205" i="9"/>
  <c r="X206" i="9"/>
  <c r="X207" i="9"/>
  <c r="X208" i="9"/>
  <c r="X209" i="9"/>
  <c r="X210" i="9"/>
  <c r="X211" i="9"/>
  <c r="X212" i="9"/>
  <c r="X213" i="9"/>
  <c r="X214" i="9"/>
  <c r="X215" i="9"/>
  <c r="X216" i="9"/>
  <c r="X217" i="9"/>
  <c r="X218" i="9"/>
  <c r="X219" i="9"/>
  <c r="X220" i="9"/>
  <c r="X221" i="9"/>
  <c r="X222" i="9"/>
  <c r="X223" i="9"/>
  <c r="X224" i="9"/>
  <c r="X225" i="9"/>
  <c r="X226" i="9"/>
  <c r="X227" i="9"/>
  <c r="X228" i="9"/>
  <c r="X229" i="9"/>
  <c r="X230" i="9"/>
  <c r="X231" i="9"/>
  <c r="X232" i="9"/>
  <c r="X233" i="9"/>
  <c r="X234" i="9"/>
  <c r="X235" i="9"/>
  <c r="X236" i="9"/>
  <c r="X237" i="9"/>
  <c r="X238" i="9"/>
  <c r="X239" i="9"/>
  <c r="X240" i="9"/>
  <c r="X241" i="9"/>
  <c r="X242" i="9"/>
  <c r="X243" i="9"/>
  <c r="X244" i="9"/>
  <c r="X245" i="9"/>
  <c r="X246" i="9"/>
  <c r="X247" i="9"/>
  <c r="X248" i="9"/>
  <c r="X249" i="9"/>
  <c r="X250" i="9"/>
  <c r="X251" i="9"/>
  <c r="X252" i="9"/>
  <c r="X253" i="9"/>
  <c r="X254" i="9"/>
  <c r="X255" i="9"/>
  <c r="X256" i="9"/>
  <c r="X257" i="9"/>
  <c r="X258" i="9"/>
  <c r="X259" i="9"/>
  <c r="X260" i="9"/>
  <c r="X261" i="9"/>
  <c r="X262" i="9"/>
  <c r="X263" i="9"/>
  <c r="X264" i="9"/>
  <c r="X265" i="9"/>
  <c r="X266" i="9"/>
  <c r="X267" i="9"/>
  <c r="X268" i="9"/>
  <c r="X269" i="9"/>
  <c r="X270" i="9"/>
  <c r="X271" i="9"/>
  <c r="X272" i="9"/>
  <c r="X273" i="9"/>
  <c r="X274" i="9"/>
  <c r="X27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5" i="9"/>
  <c r="AB56" i="9"/>
  <c r="AB57" i="9"/>
  <c r="AB58" i="9"/>
  <c r="AB59" i="9"/>
  <c r="AB60" i="9"/>
  <c r="AB61" i="9"/>
  <c r="AB62" i="9"/>
  <c r="AB63" i="9"/>
  <c r="AB64" i="9"/>
  <c r="AB65" i="9"/>
  <c r="AB66" i="9"/>
  <c r="AB67" i="9"/>
  <c r="AB68" i="9"/>
  <c r="AB69" i="9"/>
  <c r="AB70" i="9"/>
  <c r="AB71" i="9"/>
  <c r="AB72" i="9"/>
  <c r="AB73" i="9"/>
  <c r="AB74" i="9"/>
  <c r="AB75" i="9"/>
  <c r="AB76" i="9"/>
  <c r="AB77" i="9"/>
  <c r="AB78" i="9"/>
  <c r="AB79" i="9"/>
  <c r="AB80" i="9"/>
  <c r="AB81" i="9"/>
  <c r="AB82" i="9"/>
  <c r="AB83" i="9"/>
  <c r="AB84" i="9"/>
  <c r="AB85" i="9"/>
  <c r="AB86" i="9"/>
  <c r="AB87" i="9"/>
  <c r="AB88" i="9"/>
  <c r="AB89" i="9"/>
  <c r="AB90" i="9"/>
  <c r="AB91" i="9"/>
  <c r="AB92" i="9"/>
  <c r="AB93" i="9"/>
  <c r="AB94" i="9"/>
  <c r="AB95" i="9"/>
  <c r="AB96" i="9"/>
  <c r="AB97" i="9"/>
  <c r="AB98" i="9"/>
  <c r="AB99" i="9"/>
  <c r="AB100" i="9"/>
  <c r="AB101" i="9"/>
  <c r="AB102" i="9"/>
  <c r="AB103" i="9"/>
  <c r="AB104" i="9"/>
  <c r="AB105" i="9"/>
  <c r="AB106" i="9"/>
  <c r="AB107" i="9"/>
  <c r="AB108" i="9"/>
  <c r="AB109" i="9"/>
  <c r="AB110" i="9"/>
  <c r="AB111" i="9"/>
  <c r="AB112" i="9"/>
  <c r="AB113" i="9"/>
  <c r="AB114" i="9"/>
  <c r="AB115" i="9"/>
  <c r="AB116" i="9"/>
  <c r="AB117" i="9"/>
  <c r="AB118" i="9"/>
  <c r="AB119" i="9"/>
  <c r="AB120" i="9"/>
  <c r="AB121" i="9"/>
  <c r="AB122" i="9"/>
  <c r="AB123" i="9"/>
  <c r="AB124" i="9"/>
  <c r="AB125" i="9"/>
  <c r="AB126" i="9"/>
  <c r="AB127" i="9"/>
  <c r="AB128" i="9"/>
  <c r="AB129" i="9"/>
  <c r="AB130" i="9"/>
  <c r="AB131" i="9"/>
  <c r="AB132" i="9"/>
  <c r="AB133" i="9"/>
  <c r="AB134" i="9"/>
  <c r="AB135" i="9"/>
  <c r="AB136" i="9"/>
  <c r="AB137" i="9"/>
  <c r="AB138" i="9"/>
  <c r="AB139" i="9"/>
  <c r="AB140" i="9"/>
  <c r="AB141" i="9"/>
  <c r="AB142" i="9"/>
  <c r="AB143" i="9"/>
  <c r="AB144" i="9"/>
  <c r="AB145" i="9"/>
  <c r="AB146" i="9"/>
  <c r="AB147" i="9"/>
  <c r="AB148" i="9"/>
  <c r="AB149" i="9"/>
  <c r="AB150" i="9"/>
  <c r="AB151" i="9"/>
  <c r="AB152" i="9"/>
  <c r="AB153" i="9"/>
  <c r="AB154" i="9"/>
  <c r="AB155" i="9"/>
  <c r="AB156" i="9"/>
  <c r="AB157" i="9"/>
  <c r="AB158" i="9"/>
  <c r="AB159" i="9"/>
  <c r="AB160" i="9"/>
  <c r="AB161" i="9"/>
  <c r="AB162" i="9"/>
  <c r="AB163" i="9"/>
  <c r="AB164" i="9"/>
  <c r="AB165" i="9"/>
  <c r="AB166" i="9"/>
  <c r="AB167" i="9"/>
  <c r="AB168" i="9"/>
  <c r="AB169" i="9"/>
  <c r="AB170" i="9"/>
  <c r="AB171" i="9"/>
  <c r="AB172" i="9"/>
  <c r="AB173" i="9"/>
  <c r="AB174" i="9"/>
  <c r="AB175" i="9"/>
  <c r="AB176" i="9"/>
  <c r="AB177" i="9"/>
  <c r="AB178" i="9"/>
  <c r="AB179" i="9"/>
  <c r="AB180" i="9"/>
  <c r="AB181" i="9"/>
  <c r="AB182" i="9"/>
  <c r="AB183" i="9"/>
  <c r="AB184" i="9"/>
  <c r="AB185" i="9"/>
  <c r="AB186" i="9"/>
  <c r="AB187" i="9"/>
  <c r="AB188" i="9"/>
  <c r="AB189" i="9"/>
  <c r="AB190" i="9"/>
  <c r="AB191" i="9"/>
  <c r="AB192" i="9"/>
  <c r="AB193" i="9"/>
  <c r="AB194" i="9"/>
  <c r="AB195" i="9"/>
  <c r="AB196" i="9"/>
  <c r="AB197" i="9"/>
  <c r="AB198" i="9"/>
  <c r="AB199" i="9"/>
  <c r="AB200" i="9"/>
  <c r="AB201" i="9"/>
  <c r="AB202" i="9"/>
  <c r="AB203" i="9"/>
  <c r="AB204" i="9"/>
  <c r="AB205" i="9"/>
  <c r="AB206" i="9"/>
  <c r="AB207" i="9"/>
  <c r="AB208" i="9"/>
  <c r="AB209" i="9"/>
  <c r="AB210" i="9"/>
  <c r="AB211" i="9"/>
  <c r="AB212" i="9"/>
  <c r="AB213" i="9"/>
  <c r="AB214" i="9"/>
  <c r="AB215" i="9"/>
  <c r="AB216" i="9"/>
  <c r="AB217" i="9"/>
  <c r="AB218" i="9"/>
  <c r="AB219" i="9"/>
  <c r="AB220" i="9"/>
  <c r="AB221" i="9"/>
  <c r="AB222" i="9"/>
  <c r="AB223" i="9"/>
  <c r="AB224" i="9"/>
  <c r="AB225" i="9"/>
  <c r="AB226" i="9"/>
  <c r="AB227" i="9"/>
  <c r="AB228" i="9"/>
  <c r="AB229" i="9"/>
  <c r="AB230" i="9"/>
  <c r="AB231" i="9"/>
  <c r="AB232" i="9"/>
  <c r="AB233" i="9"/>
  <c r="AB234" i="9"/>
  <c r="AB235" i="9"/>
  <c r="AB236" i="9"/>
  <c r="AB237" i="9"/>
  <c r="AB238" i="9"/>
  <c r="AB239" i="9"/>
  <c r="AB240" i="9"/>
  <c r="AB241" i="9"/>
  <c r="AB242" i="9"/>
  <c r="AB243" i="9"/>
  <c r="AB244" i="9"/>
  <c r="AB245" i="9"/>
  <c r="AB246" i="9"/>
  <c r="AB247" i="9"/>
  <c r="AB248" i="9"/>
  <c r="AB249" i="9"/>
  <c r="AB250" i="9"/>
  <c r="AB251" i="9"/>
  <c r="AB252" i="9"/>
  <c r="AB253" i="9"/>
  <c r="AB254" i="9"/>
  <c r="AB255" i="9"/>
  <c r="AB256" i="9"/>
  <c r="AB257" i="9"/>
  <c r="AB258" i="9"/>
  <c r="AB259" i="9"/>
  <c r="AB260" i="9"/>
  <c r="AB261" i="9"/>
  <c r="AB262" i="9"/>
  <c r="AB263" i="9"/>
  <c r="AB264" i="9"/>
  <c r="AB265" i="9"/>
  <c r="AB266" i="9"/>
  <c r="AB267" i="9"/>
  <c r="AB268" i="9"/>
  <c r="AB269" i="9"/>
  <c r="AB270" i="9"/>
  <c r="AB271" i="9"/>
  <c r="AB272" i="9"/>
  <c r="AB273" i="9"/>
  <c r="AB274" i="9"/>
  <c r="AB275" i="9"/>
  <c r="AB15" i="9"/>
  <c r="X15" i="9"/>
  <c r="T15" i="9"/>
  <c r="P15" i="9"/>
  <c r="L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15" i="9"/>
  <c r="F8" i="11" l="1"/>
  <c r="G8" i="11" s="1"/>
  <c r="G9" i="11" s="1"/>
  <c r="C17" i="10" s="1"/>
  <c r="B32" i="2"/>
  <c r="C29" i="2"/>
  <c r="D29" i="2"/>
  <c r="E29" i="2"/>
  <c r="F29" i="2"/>
  <c r="B29" i="2"/>
  <c r="C28" i="2"/>
  <c r="D28" i="2"/>
  <c r="E28" i="2"/>
  <c r="F28" i="2"/>
  <c r="B28" i="2"/>
  <c r="C27" i="2"/>
  <c r="D27" i="2"/>
  <c r="E27" i="2"/>
  <c r="F27" i="2"/>
  <c r="B27" i="2"/>
  <c r="G32" i="4"/>
  <c r="H32" i="4" s="1"/>
  <c r="I32" i="4" s="1"/>
  <c r="J32" i="4" s="1"/>
  <c r="K32" i="4" s="1"/>
  <c r="H33" i="4"/>
  <c r="I33" i="4"/>
  <c r="J33" i="4"/>
  <c r="K33" i="4"/>
  <c r="G33" i="4"/>
  <c r="G25" i="4"/>
  <c r="G26" i="4"/>
  <c r="G27" i="4"/>
  <c r="G28" i="4"/>
  <c r="G29" i="4"/>
  <c r="G11" i="4"/>
  <c r="H11" i="4" s="1"/>
  <c r="I11" i="4" s="1"/>
  <c r="J11" i="4" s="1"/>
  <c r="K11" i="4" s="1"/>
  <c r="G8" i="4"/>
  <c r="H8" i="4" s="1"/>
  <c r="I8" i="4" s="1"/>
  <c r="J8" i="4" s="1"/>
  <c r="K8" i="4" s="1"/>
  <c r="C40" i="7"/>
  <c r="D40" i="7"/>
  <c r="E40" i="7"/>
  <c r="F40" i="7"/>
  <c r="B40" i="7"/>
  <c r="A17" i="10" l="1"/>
  <c r="D22" i="10" l="1"/>
  <c r="C21" i="10"/>
  <c r="F22" i="10"/>
  <c r="G21" i="10"/>
  <c r="C22" i="10"/>
  <c r="D21" i="10"/>
  <c r="G22" i="10"/>
  <c r="E22" i="10"/>
  <c r="E21" i="10"/>
  <c r="F21" i="10"/>
  <c r="E15" i="8"/>
  <c r="F11" i="8"/>
  <c r="F12" i="8" s="1"/>
  <c r="G11" i="8"/>
  <c r="G12" i="8" s="1"/>
  <c r="H11" i="8"/>
  <c r="H12" i="8" s="1"/>
  <c r="I11" i="8"/>
  <c r="I12" i="8" s="1"/>
  <c r="E11" i="8"/>
  <c r="E12" i="8" s="1"/>
  <c r="D19" i="3"/>
  <c r="E19" i="3"/>
  <c r="E21" i="3" s="1"/>
  <c r="D21" i="3"/>
  <c r="D22" i="3" s="1"/>
  <c r="C21" i="3"/>
  <c r="C22" i="3" s="1"/>
  <c r="C19" i="3"/>
  <c r="B21" i="3"/>
  <c r="B22" i="3" s="1"/>
  <c r="F8" i="3"/>
  <c r="F10" i="3" s="1"/>
  <c r="C12" i="3"/>
  <c r="D8" i="3" s="1"/>
  <c r="D10" i="3" s="1"/>
  <c r="D11" i="3" s="1"/>
  <c r="D12" i="3"/>
  <c r="E8" i="3" s="1"/>
  <c r="E10" i="3" s="1"/>
  <c r="E12" i="3"/>
  <c r="F12" i="3"/>
  <c r="G8" i="3" s="1"/>
  <c r="B12" i="3"/>
  <c r="C8" i="3" s="1"/>
  <c r="C10" i="3" s="1"/>
  <c r="C11" i="3" s="1"/>
  <c r="B10" i="3"/>
  <c r="C7" i="1"/>
  <c r="D7" i="1"/>
  <c r="E7" i="1"/>
  <c r="F7" i="1"/>
  <c r="B7" i="1"/>
  <c r="B5" i="1"/>
  <c r="B10" i="1" s="1"/>
  <c r="K41" i="4"/>
  <c r="J41" i="4"/>
  <c r="I41" i="4"/>
  <c r="H41" i="4"/>
  <c r="G41" i="4"/>
  <c r="K40" i="4"/>
  <c r="J40" i="4"/>
  <c r="I40" i="4"/>
  <c r="H40" i="4"/>
  <c r="G40" i="4"/>
  <c r="K36" i="4"/>
  <c r="J36" i="4"/>
  <c r="I36" i="4"/>
  <c r="H36" i="4"/>
  <c r="G36" i="4"/>
  <c r="F30" i="4"/>
  <c r="F37" i="4" s="1"/>
  <c r="K29" i="4"/>
  <c r="J29" i="4"/>
  <c r="I29" i="4"/>
  <c r="H29" i="4"/>
  <c r="K28" i="4"/>
  <c r="J28" i="4"/>
  <c r="I28" i="4"/>
  <c r="H28" i="4"/>
  <c r="K27" i="4"/>
  <c r="J27" i="4"/>
  <c r="I27" i="4"/>
  <c r="H27" i="4"/>
  <c r="K26" i="4"/>
  <c r="H26" i="4"/>
  <c r="I26" i="4"/>
  <c r="J26" i="4"/>
  <c r="H25" i="4"/>
  <c r="I25" i="4"/>
  <c r="J25" i="4"/>
  <c r="K25" i="4"/>
  <c r="H19" i="4"/>
  <c r="I19" i="4"/>
  <c r="J19" i="4"/>
  <c r="K19" i="4"/>
  <c r="G19" i="4"/>
  <c r="G18" i="4"/>
  <c r="H18" i="4" s="1"/>
  <c r="I18" i="4" s="1"/>
  <c r="J18" i="4" s="1"/>
  <c r="K18" i="4" s="1"/>
  <c r="G17" i="4"/>
  <c r="H17" i="4" s="1"/>
  <c r="I17" i="4" s="1"/>
  <c r="J17" i="4" s="1"/>
  <c r="K17" i="4" s="1"/>
  <c r="H16" i="4"/>
  <c r="I16" i="4"/>
  <c r="J16" i="4"/>
  <c r="K16" i="4"/>
  <c r="G16" i="4"/>
  <c r="H14" i="4"/>
  <c r="I14" i="4"/>
  <c r="J14" i="4"/>
  <c r="K14" i="4"/>
  <c r="G14" i="4"/>
  <c r="H13" i="4"/>
  <c r="I13" i="4"/>
  <c r="J13" i="4"/>
  <c r="K13" i="4"/>
  <c r="G13" i="4"/>
  <c r="K9" i="12" s="1"/>
  <c r="B9" i="4"/>
  <c r="C9" i="4"/>
  <c r="D9" i="4"/>
  <c r="D12" i="4" s="1"/>
  <c r="D20" i="4" s="1"/>
  <c r="E16" i="14" s="1"/>
  <c r="E9" i="4"/>
  <c r="E12" i="4" s="1"/>
  <c r="E20" i="4" s="1"/>
  <c r="F9" i="4"/>
  <c r="F12" i="4" s="1"/>
  <c r="F20" i="4" s="1"/>
  <c r="B12" i="4"/>
  <c r="B20" i="4" s="1"/>
  <c r="C12" i="4"/>
  <c r="C20" i="4" s="1"/>
  <c r="D16" i="14" s="1"/>
  <c r="B30" i="4"/>
  <c r="B37" i="4" s="1"/>
  <c r="C30" i="4"/>
  <c r="C37" i="4" s="1"/>
  <c r="D30" i="4"/>
  <c r="D37" i="4" s="1"/>
  <c r="E30" i="4"/>
  <c r="E37" i="4" s="1"/>
  <c r="G42" i="4"/>
  <c r="B44" i="4"/>
  <c r="C44" i="4"/>
  <c r="D44" i="4"/>
  <c r="E44" i="4"/>
  <c r="F44" i="4"/>
  <c r="B8" i="7"/>
  <c r="B16" i="14" l="1"/>
  <c r="C16" i="14"/>
  <c r="D19" i="14"/>
  <c r="D21" i="14" s="1"/>
  <c r="K44" i="14" s="1"/>
  <c r="D28" i="14"/>
  <c r="D38" i="14" s="1"/>
  <c r="E19" i="14"/>
  <c r="E21" i="14" s="1"/>
  <c r="L44" i="14" s="1"/>
  <c r="E28" i="14"/>
  <c r="E38" i="14" s="1"/>
  <c r="D45" i="4"/>
  <c r="F11" i="3"/>
  <c r="F31" i="3" s="1"/>
  <c r="F16" i="14"/>
  <c r="Q28" i="12"/>
  <c r="L9" i="12"/>
  <c r="B11" i="3"/>
  <c r="B31" i="3" s="1"/>
  <c r="B32" i="3" s="1"/>
  <c r="E11" i="3"/>
  <c r="C31" i="3"/>
  <c r="C36" i="7"/>
  <c r="E22" i="3"/>
  <c r="E23" i="3"/>
  <c r="D31" i="3"/>
  <c r="D36" i="7"/>
  <c r="B36" i="7"/>
  <c r="E31" i="3"/>
  <c r="F36" i="7"/>
  <c r="E13" i="8"/>
  <c r="B8" i="1"/>
  <c r="E45" i="4"/>
  <c r="E47" i="4" s="1"/>
  <c r="D47" i="4"/>
  <c r="C45" i="4"/>
  <c r="C47" i="4" s="1"/>
  <c r="F45" i="4"/>
  <c r="F47" i="4" s="1"/>
  <c r="B45" i="4"/>
  <c r="B47" i="4"/>
  <c r="H42" i="4"/>
  <c r="I42" i="4" s="1"/>
  <c r="J42" i="4" s="1"/>
  <c r="K42" i="4" s="1"/>
  <c r="C5" i="1" l="1"/>
  <c r="G31" i="4"/>
  <c r="S28" i="12"/>
  <c r="R28" i="12"/>
  <c r="C19" i="14"/>
  <c r="C21" i="14" s="1"/>
  <c r="J44" i="14" s="1"/>
  <c r="C28" i="14"/>
  <c r="C38" i="14" s="1"/>
  <c r="F19" i="14"/>
  <c r="F28" i="14"/>
  <c r="F38" i="14" s="1"/>
  <c r="B19" i="14"/>
  <c r="B21" i="14" s="1"/>
  <c r="I44" i="14" s="1"/>
  <c r="B28" i="14"/>
  <c r="B38" i="14" s="1"/>
  <c r="F19" i="3"/>
  <c r="F21" i="3" s="1"/>
  <c r="F23" i="3" s="1"/>
  <c r="G19" i="3" s="1"/>
  <c r="G21" i="3" s="1"/>
  <c r="G23" i="3" s="1"/>
  <c r="E36" i="7"/>
  <c r="D12" i="6"/>
  <c r="C8" i="1" l="1"/>
  <c r="C10" i="1"/>
  <c r="E20" i="6"/>
  <c r="F20" i="6"/>
  <c r="G20" i="6"/>
  <c r="D20" i="6"/>
  <c r="E16" i="6"/>
  <c r="F16" i="6"/>
  <c r="G16" i="6"/>
  <c r="D16" i="6"/>
  <c r="E12" i="6"/>
  <c r="G13" i="6" s="1"/>
  <c r="H11" i="6" s="1"/>
  <c r="I11" i="6" s="1"/>
  <c r="J11" i="6" s="1"/>
  <c r="K11" i="6" s="1"/>
  <c r="L11" i="6" s="1"/>
  <c r="F12" i="6"/>
  <c r="G12" i="6"/>
  <c r="E8" i="6"/>
  <c r="F8" i="6"/>
  <c r="G8" i="6"/>
  <c r="D8" i="6"/>
  <c r="D23" i="6"/>
  <c r="E23" i="6"/>
  <c r="F23" i="6"/>
  <c r="G23" i="6"/>
  <c r="M23" i="6"/>
  <c r="C23" i="6"/>
  <c r="B7" i="7" s="1"/>
  <c r="D5" i="1" l="1"/>
  <c r="H31" i="4"/>
  <c r="D7" i="7"/>
  <c r="E24" i="6"/>
  <c r="D8" i="7" s="1"/>
  <c r="B12" i="14"/>
  <c r="B11" i="7"/>
  <c r="B23" i="7"/>
  <c r="B17" i="7"/>
  <c r="B29" i="3"/>
  <c r="B13" i="7"/>
  <c r="E7" i="8"/>
  <c r="E8" i="8" s="1"/>
  <c r="B20" i="7"/>
  <c r="B27" i="7"/>
  <c r="B37" i="7"/>
  <c r="C7" i="7"/>
  <c r="D24" i="6"/>
  <c r="C8" i="7" s="1"/>
  <c r="G17" i="6"/>
  <c r="H15" i="6" s="1"/>
  <c r="I15" i="6" s="1"/>
  <c r="J15" i="6" s="1"/>
  <c r="K15" i="6" s="1"/>
  <c r="L15" i="6" s="1"/>
  <c r="G21" i="6"/>
  <c r="H19" i="6" s="1"/>
  <c r="I19" i="6" s="1"/>
  <c r="J19" i="6" s="1"/>
  <c r="K19" i="6" s="1"/>
  <c r="L19" i="6" s="1"/>
  <c r="E7" i="7"/>
  <c r="F24" i="6"/>
  <c r="E8" i="7" s="1"/>
  <c r="F7" i="7"/>
  <c r="G24" i="6"/>
  <c r="F8" i="7" s="1"/>
  <c r="G9" i="6"/>
  <c r="H7" i="6" s="1"/>
  <c r="D2" i="6"/>
  <c r="D8" i="1" l="1"/>
  <c r="D10" i="1"/>
  <c r="B25" i="7"/>
  <c r="B29" i="7" s="1"/>
  <c r="B14" i="7"/>
  <c r="F12" i="14"/>
  <c r="M9" i="12"/>
  <c r="F13" i="7"/>
  <c r="F37" i="7"/>
  <c r="F23" i="7"/>
  <c r="F17" i="7"/>
  <c r="I7" i="8"/>
  <c r="I8" i="8" s="1"/>
  <c r="F29" i="3"/>
  <c r="F20" i="7"/>
  <c r="F11" i="7"/>
  <c r="F27" i="7"/>
  <c r="B15" i="14"/>
  <c r="B17" i="14" s="1"/>
  <c r="B34" i="14"/>
  <c r="B37" i="14" s="1"/>
  <c r="B39" i="14" s="1"/>
  <c r="B44" i="14" s="1"/>
  <c r="B57" i="7"/>
  <c r="I7" i="6"/>
  <c r="H23" i="6"/>
  <c r="E12" i="14"/>
  <c r="H7" i="8"/>
  <c r="H8" i="8" s="1"/>
  <c r="E11" i="7"/>
  <c r="E17" i="7"/>
  <c r="E20" i="7"/>
  <c r="E13" i="7"/>
  <c r="E37" i="7"/>
  <c r="E27" i="7"/>
  <c r="E23" i="7"/>
  <c r="E29" i="3"/>
  <c r="C27" i="7"/>
  <c r="C12" i="14"/>
  <c r="C11" i="7"/>
  <c r="C23" i="7"/>
  <c r="B60" i="7" s="1"/>
  <c r="G22" i="7" s="1"/>
  <c r="F7" i="8"/>
  <c r="F8" i="8" s="1"/>
  <c r="C37" i="7"/>
  <c r="C13" i="7"/>
  <c r="C29" i="3"/>
  <c r="C17" i="7"/>
  <c r="C20" i="7"/>
  <c r="D27" i="7"/>
  <c r="D12" i="14"/>
  <c r="D11" i="7"/>
  <c r="D29" i="3"/>
  <c r="D13" i="7"/>
  <c r="G7" i="8"/>
  <c r="G8" i="8" s="1"/>
  <c r="D23" i="7"/>
  <c r="D37" i="7"/>
  <c r="D17" i="7"/>
  <c r="D20" i="7"/>
  <c r="H19" i="3"/>
  <c r="H21" i="3" s="1"/>
  <c r="H23" i="3" s="1"/>
  <c r="I19" i="3"/>
  <c r="I21" i="3" s="1"/>
  <c r="I23" i="3" s="1"/>
  <c r="J19" i="3" s="1"/>
  <c r="J21" i="3" s="1"/>
  <c r="J23" i="3" s="1"/>
  <c r="K19" i="3" s="1"/>
  <c r="K21" i="3" s="1"/>
  <c r="K23" i="3" s="1"/>
  <c r="B30" i="3" l="1"/>
  <c r="E5" i="1"/>
  <c r="I31" i="4"/>
  <c r="B59" i="7"/>
  <c r="G19" i="7" s="1"/>
  <c r="B58" i="7"/>
  <c r="G16" i="7" s="1"/>
  <c r="E9" i="8"/>
  <c r="B63" i="7"/>
  <c r="G26" i="7" s="1"/>
  <c r="H26" i="7" s="1"/>
  <c r="I26" i="7" s="1"/>
  <c r="J26" i="7" s="1"/>
  <c r="K26" i="7" s="1"/>
  <c r="H19" i="7"/>
  <c r="H16" i="7"/>
  <c r="E14" i="7"/>
  <c r="E25" i="7"/>
  <c r="E29" i="7" s="1"/>
  <c r="Q9" i="12"/>
  <c r="Q23" i="12"/>
  <c r="Q29" i="12" s="1"/>
  <c r="Q31" i="12" s="1"/>
  <c r="F8" i="13" s="1"/>
  <c r="C25" i="7"/>
  <c r="C29" i="7" s="1"/>
  <c r="C14" i="7"/>
  <c r="E15" i="14"/>
  <c r="E17" i="14" s="1"/>
  <c r="E34" i="14"/>
  <c r="E37" i="14" s="1"/>
  <c r="E39" i="14" s="1"/>
  <c r="E44" i="14" s="1"/>
  <c r="F15" i="14"/>
  <c r="F17" i="14" s="1"/>
  <c r="F34" i="14"/>
  <c r="F37" i="14" s="1"/>
  <c r="F39" i="14" s="1"/>
  <c r="F44" i="14" s="1"/>
  <c r="D34" i="14"/>
  <c r="D37" i="14" s="1"/>
  <c r="D39" i="14" s="1"/>
  <c r="D44" i="14" s="1"/>
  <c r="D15" i="14"/>
  <c r="D17" i="14" s="1"/>
  <c r="C15" i="14"/>
  <c r="C17" i="14" s="1"/>
  <c r="C34" i="14"/>
  <c r="C37" i="14" s="1"/>
  <c r="C39" i="14" s="1"/>
  <c r="C44" i="14" s="1"/>
  <c r="G7" i="7"/>
  <c r="G23" i="7" s="1"/>
  <c r="H24" i="6"/>
  <c r="G8" i="7" s="1"/>
  <c r="H22" i="7"/>
  <c r="D25" i="7"/>
  <c r="D29" i="7" s="1"/>
  <c r="D14" i="7"/>
  <c r="J7" i="6"/>
  <c r="I23" i="6"/>
  <c r="F14" i="7"/>
  <c r="F25" i="7"/>
  <c r="B31" i="7"/>
  <c r="B33" i="7"/>
  <c r="E8" i="1" l="1"/>
  <c r="E10" i="1"/>
  <c r="G17" i="7"/>
  <c r="B34" i="7"/>
  <c r="B5" i="14"/>
  <c r="H7" i="7"/>
  <c r="H17" i="7" s="1"/>
  <c r="I24" i="6"/>
  <c r="H8" i="7" s="1"/>
  <c r="I16" i="7"/>
  <c r="G10" i="4"/>
  <c r="G10" i="7"/>
  <c r="G10" i="3"/>
  <c r="I22" i="7"/>
  <c r="H23" i="7"/>
  <c r="E33" i="7"/>
  <c r="E31" i="7"/>
  <c r="I19" i="7"/>
  <c r="H20" i="7"/>
  <c r="D33" i="7"/>
  <c r="D31" i="7"/>
  <c r="K7" i="6"/>
  <c r="J23" i="6"/>
  <c r="N9" i="12"/>
  <c r="O9" i="12"/>
  <c r="S9" i="12" s="1"/>
  <c r="F29" i="7"/>
  <c r="C33" i="7"/>
  <c r="C31" i="7"/>
  <c r="G20" i="7"/>
  <c r="F5" i="1" l="1"/>
  <c r="J31" i="4"/>
  <c r="C34" i="7"/>
  <c r="C5" i="14"/>
  <c r="J24" i="6"/>
  <c r="I8" i="7" s="1"/>
  <c r="I7" i="7"/>
  <c r="I20" i="7" s="1"/>
  <c r="D34" i="7"/>
  <c r="D5" i="14"/>
  <c r="E34" i="7"/>
  <c r="E5" i="14"/>
  <c r="G13" i="7"/>
  <c r="G24" i="4"/>
  <c r="R9" i="12"/>
  <c r="R23" i="12"/>
  <c r="R29" i="12" s="1"/>
  <c r="R31" i="12" s="1"/>
  <c r="F31" i="7"/>
  <c r="B56" i="7" s="1"/>
  <c r="F33" i="7"/>
  <c r="L7" i="6"/>
  <c r="L23" i="6" s="1"/>
  <c r="K23" i="6"/>
  <c r="B13" i="2"/>
  <c r="G11" i="3"/>
  <c r="G9" i="3"/>
  <c r="B19" i="2" s="1"/>
  <c r="B7" i="14"/>
  <c r="B11" i="14"/>
  <c r="J19" i="7"/>
  <c r="J22" i="7"/>
  <c r="J16" i="7"/>
  <c r="H10" i="4"/>
  <c r="H10" i="7"/>
  <c r="H10" i="3"/>
  <c r="F8" i="1" l="1"/>
  <c r="K31" i="4" s="1"/>
  <c r="F10" i="1"/>
  <c r="H11" i="3"/>
  <c r="H12" i="3" s="1"/>
  <c r="C15" i="10"/>
  <c r="B20" i="2"/>
  <c r="E11" i="14"/>
  <c r="E7" i="14"/>
  <c r="L5" i="14" s="1"/>
  <c r="K7" i="7"/>
  <c r="L24" i="6"/>
  <c r="K8" i="7" s="1"/>
  <c r="I23" i="7"/>
  <c r="F34" i="7"/>
  <c r="F5" i="14"/>
  <c r="P9" i="12"/>
  <c r="B14" i="2"/>
  <c r="B11" i="2" s="1"/>
  <c r="G30" i="4"/>
  <c r="G37" i="4" s="1"/>
  <c r="D7" i="14"/>
  <c r="K5" i="14" s="1"/>
  <c r="D11" i="14"/>
  <c r="C7" i="14"/>
  <c r="J5" i="14" s="1"/>
  <c r="C11" i="14"/>
  <c r="K16" i="7"/>
  <c r="K17" i="7" s="1"/>
  <c r="H13" i="7"/>
  <c r="H24" i="4"/>
  <c r="K22" i="7"/>
  <c r="B27" i="14"/>
  <c r="B13" i="14"/>
  <c r="B23" i="14" s="1"/>
  <c r="I5" i="14" s="1"/>
  <c r="G36" i="7"/>
  <c r="C13" i="10"/>
  <c r="I17" i="7"/>
  <c r="G12" i="3"/>
  <c r="C13" i="2"/>
  <c r="G14" i="7"/>
  <c r="G25" i="7"/>
  <c r="K19" i="7"/>
  <c r="K20" i="7" s="1"/>
  <c r="K24" i="6"/>
  <c r="J8" i="7" s="1"/>
  <c r="J7" i="7"/>
  <c r="J17" i="7" s="1"/>
  <c r="I10" i="4"/>
  <c r="D13" i="2" s="1"/>
  <c r="I10" i="3"/>
  <c r="I10" i="7"/>
  <c r="K23" i="7" l="1"/>
  <c r="I8" i="3"/>
  <c r="I9" i="3" s="1"/>
  <c r="D19" i="2" s="1"/>
  <c r="H15" i="4"/>
  <c r="G29" i="7"/>
  <c r="G30" i="7" s="1"/>
  <c r="C10" i="10"/>
  <c r="I13" i="7"/>
  <c r="I24" i="4"/>
  <c r="B29" i="14"/>
  <c r="I29" i="14" s="1"/>
  <c r="B33" i="14"/>
  <c r="B35" i="14" s="1"/>
  <c r="B41" i="14" s="1"/>
  <c r="H14" i="7"/>
  <c r="H25" i="7"/>
  <c r="C14" i="10"/>
  <c r="K10" i="4"/>
  <c r="K10" i="3"/>
  <c r="K10" i="7"/>
  <c r="C14" i="2"/>
  <c r="C11" i="2" s="1"/>
  <c r="H30" i="4"/>
  <c r="H37" i="4" s="1"/>
  <c r="C13" i="14"/>
  <c r="C23" i="14" s="1"/>
  <c r="C27" i="14"/>
  <c r="I11" i="3"/>
  <c r="I12" i="3" s="1"/>
  <c r="J20" i="7"/>
  <c r="J23" i="7"/>
  <c r="D27" i="14"/>
  <c r="D13" i="14"/>
  <c r="D23" i="14" s="1"/>
  <c r="T9" i="12"/>
  <c r="S23" i="12"/>
  <c r="S29" i="12" s="1"/>
  <c r="S31" i="12" s="1"/>
  <c r="T23" i="12"/>
  <c r="T29" i="12" s="1"/>
  <c r="T31" i="12" s="1"/>
  <c r="D8" i="13" s="1"/>
  <c r="E8" i="13" s="1"/>
  <c r="J10" i="4"/>
  <c r="F13" i="2" s="1"/>
  <c r="J10" i="3"/>
  <c r="J10" i="7"/>
  <c r="H8" i="3"/>
  <c r="H9" i="3" s="1"/>
  <c r="C19" i="2" s="1"/>
  <c r="G15" i="4"/>
  <c r="G37" i="7"/>
  <c r="B9" i="2"/>
  <c r="F11" i="14"/>
  <c r="E13" i="14"/>
  <c r="E23" i="14" s="1"/>
  <c r="E27" i="14"/>
  <c r="H36" i="7"/>
  <c r="D13" i="10"/>
  <c r="D14" i="10" l="1"/>
  <c r="E13" i="2"/>
  <c r="K11" i="3"/>
  <c r="K12" i="3" s="1"/>
  <c r="K15" i="4" s="1"/>
  <c r="I14" i="7"/>
  <c r="I25" i="7"/>
  <c r="J13" i="7"/>
  <c r="J24" i="4"/>
  <c r="J8" i="3"/>
  <c r="J9" i="3" s="1"/>
  <c r="E19" i="2" s="1"/>
  <c r="I15" i="4"/>
  <c r="E15" i="10"/>
  <c r="D20" i="2"/>
  <c r="J11" i="3"/>
  <c r="J12" i="3" s="1"/>
  <c r="I36" i="7"/>
  <c r="E13" i="10"/>
  <c r="E29" i="14"/>
  <c r="L29" i="14" s="1"/>
  <c r="E33" i="14"/>
  <c r="E35" i="14" s="1"/>
  <c r="E41" i="14" s="1"/>
  <c r="D33" i="14"/>
  <c r="D35" i="14" s="1"/>
  <c r="D41" i="14" s="1"/>
  <c r="D29" i="14"/>
  <c r="K29" i="14" s="1"/>
  <c r="H37" i="7"/>
  <c r="C9" i="2"/>
  <c r="F27" i="14"/>
  <c r="F13" i="14"/>
  <c r="D15" i="10"/>
  <c r="C20" i="2"/>
  <c r="C33" i="14"/>
  <c r="C35" i="14" s="1"/>
  <c r="C41" i="14" s="1"/>
  <c r="C29" i="14"/>
  <c r="J29" i="14" s="1"/>
  <c r="K13" i="7"/>
  <c r="K24" i="4"/>
  <c r="D10" i="10"/>
  <c r="H29" i="7"/>
  <c r="H30" i="7" s="1"/>
  <c r="D14" i="2"/>
  <c r="I30" i="4"/>
  <c r="I37" i="4" s="1"/>
  <c r="G33" i="7"/>
  <c r="G31" i="7"/>
  <c r="C11" i="10" s="1"/>
  <c r="C12" i="10" s="1"/>
  <c r="C16" i="10" s="1"/>
  <c r="C23" i="10" s="1"/>
  <c r="K8" i="3" l="1"/>
  <c r="K9" i="3" s="1"/>
  <c r="F19" i="2" s="1"/>
  <c r="J15" i="4"/>
  <c r="F15" i="10"/>
  <c r="E20" i="2"/>
  <c r="I37" i="7"/>
  <c r="D9" i="2"/>
  <c r="G34" i="7"/>
  <c r="G40" i="7"/>
  <c r="B7" i="2"/>
  <c r="B15" i="2" s="1"/>
  <c r="F14" i="2"/>
  <c r="K30" i="4"/>
  <c r="K37" i="4" s="1"/>
  <c r="J36" i="7"/>
  <c r="F13" i="10"/>
  <c r="E14" i="2"/>
  <c r="J30" i="4"/>
  <c r="J37" i="4" s="1"/>
  <c r="H33" i="7"/>
  <c r="H31" i="7"/>
  <c r="D11" i="10" s="1"/>
  <c r="D12" i="10" s="1"/>
  <c r="D16" i="10" s="1"/>
  <c r="D23" i="10" s="1"/>
  <c r="E10" i="10"/>
  <c r="I29" i="7"/>
  <c r="I30" i="7" s="1"/>
  <c r="D11" i="2"/>
  <c r="E14" i="10"/>
  <c r="K14" i="7"/>
  <c r="K25" i="7"/>
  <c r="F33" i="14"/>
  <c r="F35" i="14" s="1"/>
  <c r="F41" i="14" s="1"/>
  <c r="F29" i="14"/>
  <c r="M29" i="14" s="1"/>
  <c r="J14" i="7"/>
  <c r="J25" i="7"/>
  <c r="K36" i="7"/>
  <c r="G13" i="10"/>
  <c r="K37" i="7" l="1"/>
  <c r="F9" i="2"/>
  <c r="H34" i="7"/>
  <c r="C7" i="2"/>
  <c r="C15" i="2" s="1"/>
  <c r="F10" i="10"/>
  <c r="J29" i="7"/>
  <c r="J30" i="7" s="1"/>
  <c r="B25" i="2"/>
  <c r="B33" i="2"/>
  <c r="B34" i="2" s="1"/>
  <c r="G15" i="10"/>
  <c r="F20" i="2"/>
  <c r="J37" i="7"/>
  <c r="E9" i="2"/>
  <c r="G10" i="10"/>
  <c r="K29" i="7"/>
  <c r="K30" i="7" s="1"/>
  <c r="I33" i="7"/>
  <c r="I31" i="7"/>
  <c r="E11" i="10" s="1"/>
  <c r="E12" i="10" s="1"/>
  <c r="E16" i="10" s="1"/>
  <c r="E23" i="10" s="1"/>
  <c r="F14" i="10"/>
  <c r="E11" i="2"/>
  <c r="H40" i="7"/>
  <c r="G43" i="4"/>
  <c r="F11" i="2"/>
  <c r="G14" i="10"/>
  <c r="D44" i="10" l="1"/>
  <c r="D45" i="10" s="1"/>
  <c r="D46" i="10" s="1"/>
  <c r="J33" i="7"/>
  <c r="J31" i="7"/>
  <c r="F11" i="10" s="1"/>
  <c r="F12" i="10" s="1"/>
  <c r="F16" i="10" s="1"/>
  <c r="F23" i="10" s="1"/>
  <c r="K33" i="7"/>
  <c r="K31" i="7"/>
  <c r="G11" i="10" s="1"/>
  <c r="G12" i="10" s="1"/>
  <c r="G16" i="10" s="1"/>
  <c r="G7" i="4"/>
  <c r="G9" i="4" s="1"/>
  <c r="G12" i="4" s="1"/>
  <c r="G20" i="4" s="1"/>
  <c r="C32" i="2"/>
  <c r="F6" i="14"/>
  <c r="G44" i="4"/>
  <c r="G45" i="4" s="1"/>
  <c r="H43" i="4"/>
  <c r="H44" i="4" s="1"/>
  <c r="H45" i="4" s="1"/>
  <c r="I40" i="7"/>
  <c r="I34" i="7"/>
  <c r="D7" i="2"/>
  <c r="D15" i="2" s="1"/>
  <c r="C25" i="2"/>
  <c r="C33" i="2"/>
  <c r="C34" i="2" l="1"/>
  <c r="D29" i="10"/>
  <c r="D30" i="10" s="1"/>
  <c r="G23" i="10"/>
  <c r="C25" i="10" s="1"/>
  <c r="D32" i="2"/>
  <c r="H7" i="4"/>
  <c r="H9" i="4" s="1"/>
  <c r="H12" i="4" s="1"/>
  <c r="H20" i="4" s="1"/>
  <c r="H47" i="4" s="1"/>
  <c r="D33" i="2"/>
  <c r="D25" i="2"/>
  <c r="G47" i="4"/>
  <c r="J34" i="7"/>
  <c r="E7" i="2"/>
  <c r="E15" i="2" s="1"/>
  <c r="F20" i="14"/>
  <c r="F21" i="14" s="1"/>
  <c r="F7" i="14"/>
  <c r="M5" i="14" s="1"/>
  <c r="J40" i="7"/>
  <c r="I43" i="4"/>
  <c r="I44" i="4" s="1"/>
  <c r="I45" i="4" s="1"/>
  <c r="K34" i="7"/>
  <c r="F7" i="2"/>
  <c r="F15" i="2" s="1"/>
  <c r="D47" i="10" l="1"/>
  <c r="D49" i="10" s="1"/>
  <c r="D53" i="10" s="1"/>
  <c r="D55" i="10" s="1"/>
  <c r="G46" i="10" s="1"/>
  <c r="D31" i="10"/>
  <c r="D33" i="10" s="1"/>
  <c r="D37" i="10" s="1"/>
  <c r="D39" i="10" s="1"/>
  <c r="G31" i="10" s="1"/>
  <c r="K40" i="7"/>
  <c r="K43" i="4" s="1"/>
  <c r="K44" i="4" s="1"/>
  <c r="K45" i="4" s="1"/>
  <c r="J43" i="4"/>
  <c r="J44" i="4" s="1"/>
  <c r="J45" i="4" s="1"/>
  <c r="F33" i="2"/>
  <c r="F25" i="2"/>
  <c r="D34" i="2"/>
  <c r="M44" i="14"/>
  <c r="F23" i="14"/>
  <c r="F7" i="13"/>
  <c r="E25" i="2"/>
  <c r="E33" i="2"/>
  <c r="D7" i="13" l="1"/>
  <c r="D12" i="13" s="1"/>
  <c r="F12" i="13"/>
  <c r="E32" i="2"/>
  <c r="E34" i="2" s="1"/>
  <c r="I7" i="4"/>
  <c r="I9" i="4" s="1"/>
  <c r="I12" i="4" s="1"/>
  <c r="I20" i="4" s="1"/>
  <c r="I47" i="4" s="1"/>
  <c r="E12" i="13" l="1"/>
  <c r="E7" i="13"/>
  <c r="F32" i="2"/>
  <c r="F34" i="2" s="1"/>
  <c r="K7" i="4" s="1"/>
  <c r="K9" i="4" s="1"/>
  <c r="K12" i="4" s="1"/>
  <c r="K20" i="4" s="1"/>
  <c r="K47" i="4" s="1"/>
  <c r="J7" i="4"/>
  <c r="J9" i="4" s="1"/>
  <c r="J12" i="4" s="1"/>
  <c r="J20" i="4" s="1"/>
  <c r="J4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Pankajj Goel</author>
  </authors>
  <commentList>
    <comment ref="B35" authorId="0" shapeId="0" xr:uid="{1AA10968-D704-4806-8DC7-C3E8C21E4B19}">
      <text>
        <r>
          <rPr>
            <b/>
            <sz val="9"/>
            <color indexed="81"/>
            <rFont val="Tahoma"/>
            <family val="2"/>
          </rPr>
          <t>10K Dec'2021, Pg 89</t>
        </r>
      </text>
    </comment>
    <comment ref="C35" authorId="0" shapeId="0" xr:uid="{A69DF4B9-EA6F-4BE7-B307-4BBC77B0C96E}">
      <text>
        <r>
          <rPr>
            <b/>
            <sz val="9"/>
            <color indexed="81"/>
            <rFont val="Tahoma"/>
            <family val="2"/>
          </rPr>
          <t>10K Dec'2021, Pg 89</t>
        </r>
      </text>
    </comment>
    <comment ref="D35" authorId="0" shapeId="0" xr:uid="{E9F23367-FB79-44D1-9D8D-749D50C16876}">
      <text>
        <r>
          <rPr>
            <b/>
            <sz val="9"/>
            <color indexed="81"/>
            <rFont val="Tahoma"/>
            <family val="2"/>
          </rPr>
          <t>10K Dec'2021, Pg 89</t>
        </r>
      </text>
    </comment>
    <comment ref="E35" authorId="0" shapeId="0" xr:uid="{645CABE0-1363-4F69-81F3-135A1452FC69}">
      <text>
        <r>
          <rPr>
            <b/>
            <sz val="9"/>
            <color indexed="81"/>
            <rFont val="Tahoma"/>
            <family val="2"/>
          </rPr>
          <t>10K Dec'2021, Pg 89</t>
        </r>
      </text>
    </comment>
    <comment ref="F35" authorId="0" shapeId="0" xr:uid="{3BEB0FE3-8310-4D3A-894D-A2E8E3563185}">
      <text>
        <r>
          <rPr>
            <b/>
            <sz val="9"/>
            <color indexed="81"/>
            <rFont val="Tahoma"/>
            <family val="2"/>
          </rPr>
          <t>10K Dec'2021, Pg 89</t>
        </r>
      </text>
    </comment>
    <comment ref="B94" authorId="0" shapeId="0" xr:uid="{CCB79ABC-3FF7-4BFA-A8E9-BAC6308A6874}">
      <text>
        <r>
          <rPr>
            <b/>
            <sz val="9"/>
            <color indexed="81"/>
            <rFont val="Tahoma"/>
            <family val="2"/>
          </rPr>
          <t>10K Document Dec'19, Cash flow statement</t>
        </r>
      </text>
    </comment>
    <comment ref="E94" authorId="1" shapeId="0" xr:uid="{92735B6C-CD34-4EC7-B546-D2B47AB74835}">
      <text>
        <r>
          <rPr>
            <b/>
            <sz val="9"/>
            <color indexed="81"/>
            <rFont val="Tahoma"/>
            <family val="2"/>
          </rPr>
          <t>10k 2022
Pg 49</t>
        </r>
      </text>
    </comment>
    <comment ref="F94" authorId="0" shapeId="0" xr:uid="{FC75D902-0794-414E-B6CB-F45766C40B5B}">
      <text>
        <r>
          <rPr>
            <b/>
            <sz val="9"/>
            <color indexed="81"/>
            <rFont val="Tahoma"/>
            <family val="2"/>
          </rPr>
          <t xml:space="preserve">10Q June'23, page 5
</t>
        </r>
      </text>
    </comment>
    <comment ref="E98" authorId="1" shapeId="0" xr:uid="{A55DBA91-884D-400E-976A-4FD24D56ACEA}">
      <text>
        <r>
          <rPr>
            <b/>
            <sz val="9"/>
            <color indexed="81"/>
            <rFont val="Tahoma"/>
            <family val="2"/>
          </rPr>
          <t>10K 2022
Pg: 67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Pankajj Goel</author>
  </authors>
  <commentList>
    <comment ref="E17" authorId="0" shapeId="0" xr:uid="{C396B041-311E-4ED1-990B-67BC53603C5E}">
      <text>
        <r>
          <rPr>
            <b/>
            <sz val="9"/>
            <color indexed="81"/>
            <rFont val="Tahoma"/>
            <family val="2"/>
          </rPr>
          <t>US 10 year bond yield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1129F3-6332-49C3-B06D-FD1D7869C058}" keepAlive="1" name="Query - Table066 (Page 52)" description="Connection to the 'Table066 (Page 52)' query in the workbook." type="5" refreshedVersion="0" background="1">
    <dbPr connection="Provider=Microsoft.Mashup.OleDb.1;Data Source=$Workbook$;Location=&quot;Table066 (Page 52)&quot;;Extended Properties=&quot;&quot;" command="SELECT * FROM [Table066 (Page 52)]"/>
  </connection>
  <connection id="2" xr16:uid="{69824D56-5D62-476F-B979-7BC056D024C9}" keepAlive="1" name="Query - Table066 (Page 52) (2)" description="Connection to the 'Table066 (Page 52) (2)' query in the workbook." type="5" refreshedVersion="8" background="1" saveData="1">
    <dbPr connection="Provider=Microsoft.Mashup.OleDb.1;Data Source=$Workbook$;Location=&quot;Table066 (Page 52) (2)&quot;;Extended Properties=&quot;&quot;" command="SELECT * FROM [Table066 (Page 52) (2)]"/>
  </connection>
</connections>
</file>

<file path=xl/sharedStrings.xml><?xml version="1.0" encoding="utf-8"?>
<sst xmlns="http://schemas.openxmlformats.org/spreadsheetml/2006/main" count="536" uniqueCount="330">
  <si>
    <t>Cash and cash equivalents</t>
  </si>
  <si>
    <t>Marketable securities</t>
  </si>
  <si>
    <t>Accumulated other comprehensive income (loss)</t>
  </si>
  <si>
    <t>Dec. 31, 2020</t>
  </si>
  <si>
    <t>Dec. 31, 2021</t>
  </si>
  <si>
    <t>Dec. 31, 2022</t>
  </si>
  <si>
    <t>Net Cash Provided by Operating Activities</t>
  </si>
  <si>
    <t>Segment Information</t>
  </si>
  <si>
    <t>12 months</t>
  </si>
  <si>
    <t>Dec. 31, 2023</t>
  </si>
  <si>
    <t>Dec. 31, 2024</t>
  </si>
  <si>
    <t>Dec. 31, 2025</t>
  </si>
  <si>
    <t>Dec. 31, 2026</t>
  </si>
  <si>
    <t>Dec. 31, 2027</t>
  </si>
  <si>
    <t>(in USD million except per Share Data)</t>
  </si>
  <si>
    <t>Income Statement</t>
  </si>
  <si>
    <t>(in USD millions)</t>
  </si>
  <si>
    <t>Opening Balance-WDV</t>
  </si>
  <si>
    <t>Add: Net Addition during the Period</t>
  </si>
  <si>
    <t>Total Depreciable Assets During the Year</t>
  </si>
  <si>
    <t>Less: Depreciation during the year</t>
  </si>
  <si>
    <t xml:space="preserve">Balance Sheet as of:
</t>
  </si>
  <si>
    <t>Cash Flow Statement</t>
  </si>
  <si>
    <t>Debt Schedule</t>
  </si>
  <si>
    <t>Net Income</t>
  </si>
  <si>
    <t>Share-based compensation expense</t>
  </si>
  <si>
    <t>Cash dividends paid</t>
  </si>
  <si>
    <t>Cash before Raising (Repayment) of Debt</t>
  </si>
  <si>
    <t>Debt Raised</t>
  </si>
  <si>
    <t>Debt Repaid</t>
  </si>
  <si>
    <t>Net Increase/(Decrease) in Cash and Cash Equivalents</t>
  </si>
  <si>
    <t xml:space="preserve">Cash and Cash Equivalents, Beginning of Year </t>
  </si>
  <si>
    <t>Cash and Cash Equivalents, End of Period</t>
  </si>
  <si>
    <t>Valuation Date</t>
  </si>
  <si>
    <t xml:space="preserve"> </t>
  </si>
  <si>
    <t>Calculations</t>
  </si>
  <si>
    <t>We are valuing only operational business items. So, any income/loss from other sources are considered zero.</t>
  </si>
  <si>
    <t>From FA Schedule</t>
  </si>
  <si>
    <t>From Debt Schedule</t>
  </si>
  <si>
    <t>Goodwill</t>
  </si>
  <si>
    <t>Opening Debt</t>
  </si>
  <si>
    <t>Dec. 31, 2028</t>
  </si>
  <si>
    <t>Dec. 31, 2029</t>
  </si>
  <si>
    <t>Total cash, cash equivalents, and marketable securities</t>
  </si>
  <si>
    <t>Accounts receivable, net</t>
  </si>
  <si>
    <t>Other current assets</t>
  </si>
  <si>
    <t>Total current assets</t>
  </si>
  <si>
    <t>Deferred income taxes</t>
  </si>
  <si>
    <t>Property and equipment, net</t>
  </si>
  <si>
    <t>Operating lease assets</t>
  </si>
  <si>
    <t>Other non-current assets</t>
  </si>
  <si>
    <t>Liabilities and Stockholders’ Equity</t>
  </si>
  <si>
    <t>Current liabilities:</t>
  </si>
  <si>
    <t>Accounts payable</t>
  </si>
  <si>
    <t>Accrued compensation and benefits</t>
  </si>
  <si>
    <t>Accrued expenses and other current liabilities</t>
  </si>
  <si>
    <t>Accrued revenue share</t>
  </si>
  <si>
    <t>Deferred revenue</t>
  </si>
  <si>
    <t>Total current liabilities</t>
  </si>
  <si>
    <t>Long-term debt</t>
  </si>
  <si>
    <t>Deferred revenue, non-current</t>
  </si>
  <si>
    <t>Income taxes payable, non-current</t>
  </si>
  <si>
    <t>Operating lease liabilities</t>
  </si>
  <si>
    <t>Other long-term liabilities</t>
  </si>
  <si>
    <t>Stockholders’ equity:</t>
  </si>
  <si>
    <t>Retained earnings</t>
  </si>
  <si>
    <t>Total stockholders’ equity</t>
  </si>
  <si>
    <t>Total liabilities and stockholders’ equity</t>
  </si>
  <si>
    <t>Growth%</t>
  </si>
  <si>
    <t>Hedging gains (losses)</t>
  </si>
  <si>
    <t>TOTAL REVENUE</t>
  </si>
  <si>
    <t>Current Assets</t>
  </si>
  <si>
    <t>Non-marketable investments</t>
  </si>
  <si>
    <t>Intangible assets, net</t>
  </si>
  <si>
    <t>Total Assets</t>
  </si>
  <si>
    <t>Income taxes payable, net</t>
  </si>
  <si>
    <t>Total Liabilities &amp; Equity</t>
  </si>
  <si>
    <t xml:space="preserve">Commitments and Contingencies </t>
  </si>
  <si>
    <t>Class A and Class B common stock, and Class C capital stock andadditional paid-in capital, $0.001 par value per share: 15,000,000 sharesauthorized (Class A 9,000,000, Class B 3,000,000, Class C 3,000,000);688,335 (Class A 299,828, Class B 46,441, Class C 342,066) and 675,222(Class A 300,730, Class B 45,843, Class C 328,649) shares issued andoutstanding</t>
  </si>
  <si>
    <t>Cash From Operating Activities:-</t>
  </si>
  <si>
    <t>Adjustment:</t>
  </si>
  <si>
    <t>Depreciation of property and equipment</t>
  </si>
  <si>
    <t>Change in assets and liabilities:-</t>
  </si>
  <si>
    <t>CHECKSUM</t>
  </si>
  <si>
    <t>Preferred stock, $0.001 par value per share, 100,000 shares authorized; no sharesissued and outstanding</t>
  </si>
  <si>
    <t>Google Services</t>
  </si>
  <si>
    <t>Google Cloud</t>
  </si>
  <si>
    <t>Other Bets</t>
  </si>
  <si>
    <t>THE ALPHABET INC.</t>
  </si>
  <si>
    <t>Net Sales</t>
  </si>
  <si>
    <t>Sales Growth %</t>
  </si>
  <si>
    <t>COGS</t>
  </si>
  <si>
    <t>COGS % Revenue</t>
  </si>
  <si>
    <t>Working Notes</t>
  </si>
  <si>
    <t>Average of COGS% of Sales=</t>
  </si>
  <si>
    <t>Average R&amp;D Exp % Sales=</t>
  </si>
  <si>
    <t>Average Effective Tax Rate=</t>
  </si>
  <si>
    <t>Average YoY Tax Growth=</t>
  </si>
  <si>
    <t>Gross Profit</t>
  </si>
  <si>
    <t>Gross Profit Margin</t>
  </si>
  <si>
    <t>Sales and Marketing Expense</t>
  </si>
  <si>
    <t>General and Administrative Expense</t>
  </si>
  <si>
    <t>S&amp;G Exp % Revenue</t>
  </si>
  <si>
    <t>Research and Development</t>
  </si>
  <si>
    <t>R&amp;D Exp % Revenue</t>
  </si>
  <si>
    <t>Depreciation and Amortization</t>
  </si>
  <si>
    <t>Depreciation and Amortization % Sales</t>
  </si>
  <si>
    <t>Retained Earning</t>
  </si>
  <si>
    <t>Sales and Marketing Expense% Revenue</t>
  </si>
  <si>
    <t>Average S&amp;M Exp % Sales=</t>
  </si>
  <si>
    <t>Average of G&amp;A Exp % Sales=</t>
  </si>
  <si>
    <t>Reypayment Head</t>
  </si>
  <si>
    <t>Future Principal Payments for long-term debt</t>
  </si>
  <si>
    <t>Future lease payments under operating leases</t>
  </si>
  <si>
    <t>Add: Debt Issued</t>
  </si>
  <si>
    <t>Less: Debt Repaid</t>
  </si>
  <si>
    <t>Ending Debt</t>
  </si>
  <si>
    <t>Weighted Average Discount Rate=</t>
  </si>
  <si>
    <t>Interest Expense</t>
  </si>
  <si>
    <t>Property Plant and Equipment</t>
  </si>
  <si>
    <t>(Dollars in millions, except per share amounts)</t>
  </si>
  <si>
    <t>Closing Balance-WDV</t>
  </si>
  <si>
    <t>Fixed Asset Schedule- Alphabet Inc.</t>
  </si>
  <si>
    <t>Amortizable Intangible Assets- Alphabet Inc.</t>
  </si>
  <si>
    <t>Amortizable Intangible Assets</t>
  </si>
  <si>
    <t>Total Amortizable Assets During the Year</t>
  </si>
  <si>
    <t>Less: Amortization during the year</t>
  </si>
  <si>
    <t>Particular</t>
  </si>
  <si>
    <t>Property Plant and Equipment Turover=</t>
  </si>
  <si>
    <t>Average PPE Turnover=</t>
  </si>
  <si>
    <t>Depreciation Rate=</t>
  </si>
  <si>
    <t>Average Depreciation Rate=</t>
  </si>
  <si>
    <t>Receivables Turnover=</t>
  </si>
  <si>
    <t>Days of Receivables at Hand=</t>
  </si>
  <si>
    <t>Average Days or Receivables=</t>
  </si>
  <si>
    <t>Payables Turnover=</t>
  </si>
  <si>
    <t>Days of Payables at Hand=</t>
  </si>
  <si>
    <t>Average Days or Payables=</t>
  </si>
  <si>
    <t>Average Marketable Securities=</t>
  </si>
  <si>
    <t>Non-Marketable Securities Forecasts=</t>
  </si>
  <si>
    <t>LAST YEAR</t>
  </si>
  <si>
    <t>Other Income (expenses),net</t>
  </si>
  <si>
    <t>Other Income (expenses),net% REVENUE</t>
  </si>
  <si>
    <t xml:space="preserve"> AVERAGE OFOther Income (expenses),net% REVENUE</t>
  </si>
  <si>
    <t>INCOME FROM OPERATION ( EBIT )</t>
  </si>
  <si>
    <t>EBT</t>
  </si>
  <si>
    <t>NET INCOME</t>
  </si>
  <si>
    <t>AVERAGE OF TAX RATE</t>
  </si>
  <si>
    <t>NET PROFIT MARGIN</t>
  </si>
  <si>
    <t xml:space="preserve"> accounts receivable net</t>
  </si>
  <si>
    <t>Investing Activities</t>
  </si>
  <si>
    <t>Capital Expenditures</t>
  </si>
  <si>
    <t>Net Cash from Investing Activites</t>
  </si>
  <si>
    <t>Financing Activities</t>
  </si>
  <si>
    <t>Net Cash from in Financing Activities</t>
  </si>
  <si>
    <t>Particulars</t>
  </si>
  <si>
    <t>ALPHABTE Inc. (GOOGL)</t>
  </si>
  <si>
    <t>BETA CALCULATION OF ALPHABET INC. (GOOGL)</t>
  </si>
  <si>
    <t>Competitors</t>
  </si>
  <si>
    <t>R sq</t>
  </si>
  <si>
    <t>ALPHABET Inc.</t>
  </si>
  <si>
    <t>Meta Platforms Inc.</t>
  </si>
  <si>
    <t xml:space="preserve">MICROSOFT CORP </t>
  </si>
  <si>
    <t xml:space="preserve">APPLE Inc. </t>
  </si>
  <si>
    <t>IBM</t>
  </si>
  <si>
    <t>Date</t>
  </si>
  <si>
    <t>Close</t>
  </si>
  <si>
    <t xml:space="preserve">Change </t>
  </si>
  <si>
    <t>MICROSOFT CORP</t>
  </si>
  <si>
    <t xml:space="preserve">IBM Inc. </t>
  </si>
  <si>
    <t>Amazon</t>
  </si>
  <si>
    <t xml:space="preserve"> Amazon </t>
  </si>
  <si>
    <t xml:space="preserve"> S&amp;P 500</t>
  </si>
  <si>
    <t>REGRESSION BETA</t>
  </si>
  <si>
    <t>ALPHABET Inc. DCF Valuation</t>
  </si>
  <si>
    <t>Latest Filing</t>
  </si>
  <si>
    <t>Choose Discounting</t>
  </si>
  <si>
    <t>Date of cash flows</t>
  </si>
  <si>
    <t>EBIT</t>
  </si>
  <si>
    <t>Tax Rate</t>
  </si>
  <si>
    <t>NOPAT</t>
  </si>
  <si>
    <t>Add: Depreciation and amortisation</t>
  </si>
  <si>
    <t>Add/Less: (Increase)/ Decrease in net working capital</t>
  </si>
  <si>
    <t>Less: Capital expenditure</t>
  </si>
  <si>
    <t>Debt free cash flow (Free Cash Flows to Firm)FCFF</t>
  </si>
  <si>
    <t>Discount rate (%) (wacc)</t>
  </si>
  <si>
    <t>Full Period or Partial Period</t>
  </si>
  <si>
    <t>Discounting Period-Year End</t>
  </si>
  <si>
    <t>Discounting Period-Mid Year</t>
  </si>
  <si>
    <t>Present value factor- Year end discounting</t>
  </si>
  <si>
    <t>Present value factor- Mid year discounting</t>
  </si>
  <si>
    <t xml:space="preserve">Present value debt free cash flow </t>
  </si>
  <si>
    <t>Present value for explicit period</t>
  </si>
  <si>
    <t>Terminal value</t>
  </si>
  <si>
    <t>Gordon growth Method</t>
  </si>
  <si>
    <t>Long Term Growth Rate</t>
  </si>
  <si>
    <t>Terminal Value</t>
  </si>
  <si>
    <t>Present Value of TV</t>
  </si>
  <si>
    <t>WACC</t>
  </si>
  <si>
    <t>DCF Value of Firm / Operating Business Enterprise Value</t>
  </si>
  <si>
    <t>Add: Non Operating Assets</t>
  </si>
  <si>
    <t>Total Value of Firm</t>
  </si>
  <si>
    <t>Less: Gross Debt &amp; Debt Equivalents</t>
  </si>
  <si>
    <t>Add: Cash</t>
  </si>
  <si>
    <t>Less: Non Controlling Interest</t>
  </si>
  <si>
    <t>DCF value of Common Equity</t>
  </si>
  <si>
    <t>No. of shares o/s</t>
  </si>
  <si>
    <t>DCF value per share</t>
  </si>
  <si>
    <t>Exit Multiple Method</t>
  </si>
  <si>
    <t>LTM EV/EBITDA</t>
  </si>
  <si>
    <t>Terminal Year EBITDA</t>
  </si>
  <si>
    <t xml:space="preserve">Terminal Value </t>
  </si>
  <si>
    <t>No. of shares o/s-Diluted</t>
  </si>
  <si>
    <t>PROVISION FOR INCOME TAX</t>
  </si>
  <si>
    <t>Alphabet Inc. WACC Calculation</t>
  </si>
  <si>
    <t>Weighted average cost of capital</t>
  </si>
  <si>
    <t>Weight</t>
  </si>
  <si>
    <t>Cost</t>
  </si>
  <si>
    <t>Value</t>
  </si>
  <si>
    <t>Debt (%)</t>
  </si>
  <si>
    <t>Cost of debt (After Tax) (%)</t>
  </si>
  <si>
    <t>Equity (%)</t>
  </si>
  <si>
    <t>Cost of equity (%)</t>
  </si>
  <si>
    <t xml:space="preserve">Cost of equity </t>
  </si>
  <si>
    <t xml:space="preserve">Cost of debt </t>
  </si>
  <si>
    <t xml:space="preserve">Risk-free rate (%) </t>
  </si>
  <si>
    <t>Debt borrowing rate (%)</t>
  </si>
  <si>
    <t>Beta</t>
  </si>
  <si>
    <t>Expected income tax rate (%)</t>
  </si>
  <si>
    <t xml:space="preserve">Equity market risk premium (%) </t>
  </si>
  <si>
    <t>After-tax cost of debt (%)</t>
  </si>
  <si>
    <t>Cost of equity capital (%)</t>
  </si>
  <si>
    <t>Calculation of Beta</t>
  </si>
  <si>
    <t>Levered beta</t>
  </si>
  <si>
    <t>D/(D+E) 
(last three years)</t>
  </si>
  <si>
    <t>E/(D+E) 
(last three years)</t>
  </si>
  <si>
    <t>D/E</t>
  </si>
  <si>
    <t>Tax rate (%)</t>
  </si>
  <si>
    <t>Unlevered beta</t>
  </si>
  <si>
    <t>Bottom-up</t>
  </si>
  <si>
    <t>Alphabet Inc. (Target Comp) (Not considered In taking Average)</t>
  </si>
  <si>
    <t>Meta Platforms</t>
  </si>
  <si>
    <t>Apple Inc.</t>
  </si>
  <si>
    <t>Microsoft Corp.</t>
  </si>
  <si>
    <t>Median/Average</t>
  </si>
  <si>
    <t xml:space="preserve">Average Unlevered Beta </t>
  </si>
  <si>
    <t>Amount</t>
  </si>
  <si>
    <t>Beta Value</t>
  </si>
  <si>
    <t>Average Unlevered Beta Through Unlever First</t>
  </si>
  <si>
    <t>Bottom-Up Approach (Relevered) (Unlever First)</t>
  </si>
  <si>
    <t>Average Unlevered Beta Through Unlever Last</t>
  </si>
  <si>
    <t>Bottom-Up Approach (Relevered) (Unlever Last)</t>
  </si>
  <si>
    <t>Regression Analysis</t>
  </si>
  <si>
    <t>Calculation of Capital Structure of Peer Group Companies</t>
  </si>
  <si>
    <t xml:space="preserve">Company </t>
  </si>
  <si>
    <t>Debt</t>
  </si>
  <si>
    <t>Equity</t>
  </si>
  <si>
    <t>Share Price</t>
  </si>
  <si>
    <t>Shares O/S</t>
  </si>
  <si>
    <t>M.Cap</t>
  </si>
  <si>
    <t>Alphabet</t>
  </si>
  <si>
    <t>EBI</t>
  </si>
  <si>
    <t>Mid year discounting</t>
  </si>
  <si>
    <t>Year end discounting</t>
  </si>
  <si>
    <t>Comparable Companies Analysis</t>
  </si>
  <si>
    <t>Market Data</t>
  </si>
  <si>
    <t>Financials</t>
  </si>
  <si>
    <t>Valuation</t>
  </si>
  <si>
    <t>Company</t>
  </si>
  <si>
    <t>Ticker</t>
  </si>
  <si>
    <t>Share 
Price</t>
  </si>
  <si>
    <t>Shares Outstanding</t>
  </si>
  <si>
    <t>Equity Value</t>
  </si>
  <si>
    <t xml:space="preserve"> Debt</t>
  </si>
  <si>
    <t xml:space="preserve">Preference Share Capital </t>
  </si>
  <si>
    <t xml:space="preserve">Minority Interest </t>
  </si>
  <si>
    <t xml:space="preserve">Cash </t>
  </si>
  <si>
    <t xml:space="preserve">Investment </t>
  </si>
  <si>
    <t>Enterprise 
Value</t>
  </si>
  <si>
    <t>Revenue</t>
  </si>
  <si>
    <t>EBITDA</t>
  </si>
  <si>
    <t>EV/Revenue</t>
  </si>
  <si>
    <t>EV/EBITDA</t>
  </si>
  <si>
    <t>EV/EBIT</t>
  </si>
  <si>
    <t>P/E</t>
  </si>
  <si>
    <t>Alphabet Inc.</t>
  </si>
  <si>
    <t>GOOGL</t>
  </si>
  <si>
    <t>META</t>
  </si>
  <si>
    <t>MSFT</t>
  </si>
  <si>
    <t xml:space="preserve">Apple </t>
  </si>
  <si>
    <t>AAPL</t>
  </si>
  <si>
    <t xml:space="preserve">IBM </t>
  </si>
  <si>
    <t>High</t>
  </si>
  <si>
    <t>75th Percentile</t>
  </si>
  <si>
    <t>Average</t>
  </si>
  <si>
    <t>Median</t>
  </si>
  <si>
    <t>25th Percentile</t>
  </si>
  <si>
    <t>Low</t>
  </si>
  <si>
    <t>Implied Enterprise Value</t>
  </si>
  <si>
    <t xml:space="preserve">Preference Share Capital  </t>
  </si>
  <si>
    <t>Cash</t>
  </si>
  <si>
    <t>Implied Market Value</t>
  </si>
  <si>
    <t>Implied Value Per Share</t>
  </si>
  <si>
    <t xml:space="preserve">Football Filed Analysis </t>
  </si>
  <si>
    <t>Method</t>
  </si>
  <si>
    <t>Lower</t>
  </si>
  <si>
    <t>Difference</t>
  </si>
  <si>
    <t>Higher</t>
  </si>
  <si>
    <t>DCF</t>
  </si>
  <si>
    <t>Unaffected Price</t>
  </si>
  <si>
    <t xml:space="preserve">Final Range </t>
  </si>
  <si>
    <t>ALPHABET INC. (GOOGL) DuPont Analysis</t>
  </si>
  <si>
    <t>Return on Equity (ROE)</t>
  </si>
  <si>
    <t>Net Profit</t>
  </si>
  <si>
    <t>Return on Equity</t>
  </si>
  <si>
    <t>Average Shareholder Equity</t>
  </si>
  <si>
    <t>Return on Equity (ROE) - Dupont Equation</t>
  </si>
  <si>
    <t>Net Profit Margin (A)</t>
  </si>
  <si>
    <t>Average Total Asset</t>
  </si>
  <si>
    <t>Asset Turnover Ratio (B)</t>
  </si>
  <si>
    <t>Equity Multiplier (C)</t>
  </si>
  <si>
    <t>Return on Equity (A*B*C)</t>
  </si>
  <si>
    <t>Return on Asset (ROA)</t>
  </si>
  <si>
    <t>Return on Asset</t>
  </si>
  <si>
    <t>Return on Assets (ROA) - Dupont Equation</t>
  </si>
  <si>
    <t>Return on Asset (A*B)</t>
  </si>
  <si>
    <t xml:space="preserve">Asset Turnover Ratio </t>
  </si>
  <si>
    <t xml:space="preserve">Equity Multiplier </t>
  </si>
  <si>
    <t>HISTORICAL DATA</t>
  </si>
  <si>
    <t>ESTIMATE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</si>
</sst>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3" formatCode="_ * #,##0.00_ ;_ * \-#,##0.00_ ;_ * &quot;-&quot;??_ ;_ @_ "/>
    <numFmt numFmtId="164" formatCode="_(&quot;$ &quot;#,##0_);_(&quot;$ &quot;\(#,##0\)"/>
    <numFmt numFmtId="165" formatCode="_(* #,##0_);_(* \(#,##0\);_(* &quot;-&quot;??_);_(@_)"/>
    <numFmt numFmtId="166" formatCode="0&quot; Months&quot;"/>
    <numFmt numFmtId="167" formatCode="_ * #,##0_ ;_ * \-#,##0_ ;_ * &quot;-&quot;??_ ;_ @_ "/>
    <numFmt numFmtId="168" formatCode="0.0%"/>
    <numFmt numFmtId="169" formatCode="#,##0;\(#,##0\);&quot;-&quot;"/>
    <numFmt numFmtId="170" formatCode="0&quot; days&quot;"/>
    <numFmt numFmtId="171" formatCode="_(* #,##0.00_);_(* \(#,##0.00\);_(* &quot;-&quot;??_);_(@_)"/>
    <numFmt numFmtId="172" formatCode="0.0"/>
    <numFmt numFmtId="173" formatCode="0.0000%"/>
    <numFmt numFmtId="174" formatCode="_-* #,##0_-;\-* #,##0_-;_-* &quot;-&quot;_-;_-@_-"/>
    <numFmt numFmtId="175" formatCode="\ #,##0.0_);\(#,##0.0\);&quot; - &quot;_);@_)"/>
    <numFmt numFmtId="176" formatCode="[$-14009]dd\ mmmm\ yyyy"/>
    <numFmt numFmtId="177" formatCode="0.00_);\(0.00\)"/>
    <numFmt numFmtId="178" formatCode="_-* #,##0_-;\-* #,##0_-;_-* &quot;-&quot;??_-;_-@"/>
    <numFmt numFmtId="179" formatCode="_-* #,##0.00_-;\-* #,##0.00_-;_-* &quot;-&quot;??_-;_-@"/>
    <numFmt numFmtId="180" formatCode="_ * #,##0.0_ ;_ * \-#,##0.0_ ;_ * &quot;-&quot;??_ ;_ @_ "/>
    <numFmt numFmtId="181" formatCode="#,##0.0"/>
    <numFmt numFmtId="182" formatCode="0.0\x"/>
    <numFmt numFmtId="183" formatCode="0.00\x"/>
  </numFmts>
  <fonts count="10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i/>
      <sz val="11"/>
      <color theme="0"/>
      <name val="Calibri"/>
      <family val="2"/>
      <scheme val="minor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name val="Calibri"/>
      <family val="2"/>
    </font>
    <font>
      <i/>
      <sz val="10"/>
      <color rgb="FF7030A0"/>
      <name val="Calibri"/>
      <family val="2"/>
    </font>
    <font>
      <i/>
      <sz val="11"/>
      <color rgb="FF7030A0"/>
      <name val="Calibri"/>
      <family val="2"/>
      <scheme val="minor"/>
    </font>
    <font>
      <i/>
      <sz val="11"/>
      <color rgb="FF7030A0"/>
      <name val="Calibri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i/>
      <sz val="11"/>
      <color rgb="FF7030A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993366"/>
      <name val="Calibri"/>
      <family val="2"/>
    </font>
    <font>
      <b/>
      <i/>
      <sz val="11"/>
      <color theme="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i/>
      <u/>
      <sz val="11"/>
      <color theme="1"/>
      <name val="Calibri"/>
      <family val="2"/>
    </font>
    <font>
      <b/>
      <i/>
      <sz val="11"/>
      <color rgb="FFFF0000"/>
      <name val="Calibri"/>
      <family val="2"/>
    </font>
    <font>
      <i/>
      <sz val="11"/>
      <color rgb="FFFF000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</font>
    <font>
      <b/>
      <sz val="11.5"/>
      <color theme="0"/>
      <name val="Calibri"/>
      <family val="2"/>
    </font>
    <font>
      <b/>
      <sz val="13"/>
      <color theme="0"/>
      <name val="Calibri"/>
      <family val="2"/>
    </font>
    <font>
      <sz val="13"/>
      <color theme="1"/>
      <name val="Calibri"/>
      <family val="2"/>
    </font>
    <font>
      <sz val="13"/>
      <color theme="1"/>
      <name val="Calibri"/>
      <family val="2"/>
      <scheme val="minor"/>
    </font>
    <font>
      <i/>
      <sz val="13"/>
      <color theme="1"/>
      <name val="Calibri"/>
      <family val="2"/>
    </font>
    <font>
      <b/>
      <i/>
      <sz val="13"/>
      <color rgb="FF7030A0"/>
      <name val="Calibri"/>
      <family val="2"/>
    </font>
    <font>
      <i/>
      <sz val="13"/>
      <color rgb="FF7030A0"/>
      <name val="Calibri"/>
      <family val="2"/>
    </font>
    <font>
      <sz val="13"/>
      <color rgb="FF7030A0"/>
      <name val="Calibri"/>
      <family val="2"/>
      <scheme val="minor"/>
    </font>
    <font>
      <i/>
      <sz val="13"/>
      <color rgb="FF7030A0"/>
      <name val="Calibri"/>
      <family val="2"/>
      <scheme val="minor"/>
    </font>
    <font>
      <i/>
      <sz val="13"/>
      <color rgb="FF993366"/>
      <name val="Calibri"/>
      <family val="2"/>
    </font>
    <font>
      <b/>
      <sz val="10"/>
      <name val="Calibri"/>
      <family val="2"/>
    </font>
    <font>
      <b/>
      <sz val="11"/>
      <color rgb="FFFF0000"/>
      <name val="Calibri"/>
      <family val="2"/>
    </font>
    <font>
      <i/>
      <sz val="11"/>
      <color theme="0" tint="-0.499984740745262"/>
      <name val="Calibri"/>
      <family val="2"/>
      <scheme val="minor"/>
    </font>
    <font>
      <sz val="13"/>
      <color theme="0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i/>
      <sz val="12"/>
      <color rgb="FF7030A0"/>
      <name val="Calibri"/>
      <family val="2"/>
    </font>
    <font>
      <i/>
      <sz val="12"/>
      <color rgb="FF7030A0"/>
      <name val="Calibri"/>
      <family val="2"/>
    </font>
    <font>
      <b/>
      <sz val="12"/>
      <color rgb="FF7030A0"/>
      <name val="Calibri"/>
      <family val="2"/>
    </font>
    <font>
      <b/>
      <u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i/>
      <sz val="12"/>
      <color theme="0" tint="-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i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.5"/>
      <color theme="0"/>
      <name val="Calibri"/>
      <family val="2"/>
      <scheme val="minor"/>
    </font>
    <font>
      <b/>
      <sz val="11.5"/>
      <name val="Calibri"/>
      <family val="2"/>
      <scheme val="minor"/>
    </font>
    <font>
      <b/>
      <i/>
      <sz val="11.5"/>
      <color theme="1"/>
      <name val="Calibri"/>
      <family val="2"/>
    </font>
    <font>
      <b/>
      <i/>
      <sz val="11.5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color theme="0"/>
      <name val="Calibri"/>
      <family val="2"/>
    </font>
    <font>
      <b/>
      <sz val="10"/>
      <color indexed="25"/>
      <name val="Arial Narrow"/>
      <family val="2"/>
    </font>
    <font>
      <sz val="10"/>
      <name val="Arial Narrow"/>
      <family val="2"/>
    </font>
    <font>
      <b/>
      <sz val="15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4"/>
      <color theme="1"/>
      <name val="Calibri"/>
      <family val="2"/>
    </font>
    <font>
      <sz val="8"/>
      <color indexed="25"/>
      <name val="Arial Narrow"/>
      <family val="2"/>
    </font>
    <font>
      <b/>
      <sz val="13"/>
      <color theme="1"/>
      <name val="Calibri"/>
      <family val="2"/>
      <scheme val="minor"/>
    </font>
    <font>
      <b/>
      <sz val="15"/>
      <color theme="0"/>
      <name val="Calibri"/>
      <family val="2"/>
    </font>
    <font>
      <b/>
      <sz val="14"/>
      <color theme="4" tint="-0.249977111117893"/>
      <name val="Calibri"/>
      <family val="2"/>
    </font>
    <font>
      <b/>
      <sz val="11"/>
      <color theme="8" tint="-0.249977111117893"/>
      <name val="Calibri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rgb="FF434343"/>
      <name val="Calibri"/>
      <family val="2"/>
    </font>
    <font>
      <sz val="10"/>
      <color rgb="FF434343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theme="1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F3864"/>
        <bgColor rgb="FF1F38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4D5"/>
        <bgColor rgb="FFFBE4D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rgb="FF1F38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1"/>
      </patternFill>
    </fill>
    <fill>
      <patternFill patternType="solid">
        <fgColor theme="0"/>
        <bgColor rgb="FF1F38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theme="1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theme="1"/>
      </patternFill>
    </fill>
    <fill>
      <patternFill patternType="solid">
        <fgColor theme="4" tint="-0.249977111117893"/>
        <bgColor rgb="FF1F3864"/>
      </patternFill>
    </fill>
    <fill>
      <patternFill patternType="solid">
        <fgColor rgb="FFFDE7EA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FF2F5"/>
        <bgColor indexed="64"/>
      </patternFill>
    </fill>
    <fill>
      <patternFill patternType="solid">
        <fgColor theme="4" tint="-0.249977111117893"/>
        <bgColor rgb="FF293D68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8" tint="0.79998168889431442"/>
        <bgColor rgb="FFD9E2F3"/>
      </patternFill>
    </fill>
    <fill>
      <patternFill patternType="solid">
        <fgColor theme="4" tint="-0.249977111117893"/>
        <bgColor rgb="FFF9CB9C"/>
      </patternFill>
    </fill>
    <fill>
      <patternFill patternType="solid">
        <fgColor theme="4" tint="0.79998168889431442"/>
        <bgColor rgb="FFE2EFD9"/>
      </patternFill>
    </fill>
    <fill>
      <patternFill patternType="solid">
        <fgColor theme="4" tint="0.59999389629810485"/>
        <bgColor indexed="64"/>
      </patternFill>
    </fill>
  </fills>
  <borders count="10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ashed">
        <color theme="7" tint="-0.499984740745262"/>
      </top>
      <bottom style="dashed">
        <color theme="7" tint="-0.499984740745262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25"/>
      </top>
      <bottom style="thin">
        <color indexed="25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rgb="FF293D68"/>
      </bottom>
      <diagonal/>
    </border>
    <border>
      <left/>
      <right/>
      <top style="thin">
        <color rgb="FF293D68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4" fillId="0" borderId="0" applyNumberFormat="0" applyFill="0" applyBorder="0" applyAlignment="0" applyProtection="0"/>
    <xf numFmtId="0" fontId="1" fillId="0" borderId="0"/>
    <xf numFmtId="0" fontId="87" fillId="0" borderId="47">
      <alignment horizontal="right" wrapText="1"/>
    </xf>
    <xf numFmtId="0" fontId="88" fillId="0" borderId="0" applyFill="0" applyBorder="0">
      <alignment horizontal="left" vertical="top" wrapText="1"/>
    </xf>
    <xf numFmtId="9" fontId="1" fillId="0" borderId="0" applyFont="0" applyFill="0" applyBorder="0" applyAlignment="0" applyProtection="0"/>
    <xf numFmtId="174" fontId="88" fillId="0" borderId="47" applyFill="0" applyBorder="0" applyProtection="0">
      <alignment horizontal="right" vertical="top"/>
    </xf>
    <xf numFmtId="43" fontId="1" fillId="0" borderId="0" applyFont="0" applyFill="0" applyBorder="0" applyAlignment="0" applyProtection="0"/>
    <xf numFmtId="169" fontId="92" fillId="0" borderId="0">
      <alignment horizontal="left" vertical="top"/>
    </xf>
    <xf numFmtId="175" fontId="88" fillId="0" borderId="0" applyFill="0" applyBorder="0">
      <alignment horizontal="right" vertical="top"/>
    </xf>
  </cellStyleXfs>
  <cellXfs count="795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37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2" fillId="0" borderId="0" xfId="0" applyFont="1"/>
    <xf numFmtId="0" fontId="5" fillId="3" borderId="0" xfId="0" applyFont="1" applyFill="1"/>
    <xf numFmtId="9" fontId="0" fillId="0" borderId="0" xfId="2" applyFont="1"/>
    <xf numFmtId="0" fontId="6" fillId="2" borderId="0" xfId="0" applyFont="1" applyFill="1" applyAlignment="1">
      <alignment vertical="top"/>
    </xf>
    <xf numFmtId="0" fontId="7" fillId="3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43" fontId="0" fillId="0" borderId="0" xfId="1" applyFont="1"/>
    <xf numFmtId="167" fontId="0" fillId="0" borderId="0" xfId="1" applyNumberFormat="1" applyFont="1"/>
    <xf numFmtId="0" fontId="8" fillId="0" borderId="0" xfId="0" applyFont="1"/>
    <xf numFmtId="9" fontId="8" fillId="0" borderId="0" xfId="2" applyFont="1"/>
    <xf numFmtId="167" fontId="0" fillId="9" borderId="0" xfId="1" applyNumberFormat="1" applyFont="1" applyFill="1"/>
    <xf numFmtId="9" fontId="8" fillId="9" borderId="0" xfId="2" applyFont="1" applyFill="1"/>
    <xf numFmtId="0" fontId="8" fillId="9" borderId="0" xfId="0" applyFont="1" applyFill="1"/>
    <xf numFmtId="9" fontId="8" fillId="8" borderId="1" xfId="2" applyFont="1" applyFill="1" applyBorder="1"/>
    <xf numFmtId="0" fontId="9" fillId="0" borderId="0" xfId="0" applyFont="1" applyAlignment="1">
      <alignment vertical="top"/>
    </xf>
    <xf numFmtId="0" fontId="6" fillId="2" borderId="0" xfId="0" applyFont="1" applyFill="1" applyAlignment="1">
      <alignment vertical="top" wrapText="1"/>
    </xf>
    <xf numFmtId="164" fontId="4" fillId="0" borderId="0" xfId="0" applyNumberFormat="1" applyFont="1" applyAlignment="1">
      <alignment horizontal="right" vertical="top"/>
    </xf>
    <xf numFmtId="37" fontId="4" fillId="0" borderId="0" xfId="0" applyNumberFormat="1" applyFont="1" applyAlignment="1">
      <alignment horizontal="right" vertical="top"/>
    </xf>
    <xf numFmtId="37" fontId="4" fillId="0" borderId="2" xfId="0" applyNumberFormat="1" applyFont="1" applyBorder="1" applyAlignment="1">
      <alignment horizontal="right" vertical="top"/>
    </xf>
    <xf numFmtId="167" fontId="0" fillId="0" borderId="0" xfId="1" applyNumberFormat="1" applyFont="1" applyFill="1"/>
    <xf numFmtId="167" fontId="0" fillId="0" borderId="2" xfId="1" applyNumberFormat="1" applyFont="1" applyBorder="1"/>
    <xf numFmtId="168" fontId="0" fillId="0" borderId="0" xfId="2" applyNumberFormat="1" applyFont="1"/>
    <xf numFmtId="0" fontId="11" fillId="0" borderId="0" xfId="0" applyFont="1"/>
    <xf numFmtId="0" fontId="13" fillId="0" borderId="0" xfId="0" applyFont="1"/>
    <xf numFmtId="37" fontId="12" fillId="0" borderId="0" xfId="0" applyNumberFormat="1" applyFont="1" applyAlignment="1">
      <alignment horizontal="right" vertical="top"/>
    </xf>
    <xf numFmtId="43" fontId="3" fillId="0" borderId="0" xfId="1" applyFont="1" applyAlignment="1">
      <alignment horizontal="right" vertical="top"/>
    </xf>
    <xf numFmtId="0" fontId="14" fillId="0" borderId="0" xfId="0" applyFont="1"/>
    <xf numFmtId="37" fontId="0" fillId="0" borderId="0" xfId="0" applyNumberFormat="1"/>
    <xf numFmtId="0" fontId="15" fillId="0" borderId="0" xfId="0" applyFont="1" applyAlignment="1">
      <alignment vertical="top" wrapText="1"/>
    </xf>
    <xf numFmtId="37" fontId="15" fillId="0" borderId="0" xfId="0" applyNumberFormat="1" applyFont="1" applyAlignment="1">
      <alignment horizontal="right" vertical="top"/>
    </xf>
    <xf numFmtId="43" fontId="8" fillId="0" borderId="0" xfId="1" applyFont="1"/>
    <xf numFmtId="167" fontId="2" fillId="0" borderId="0" xfId="1" applyNumberFormat="1" applyFont="1"/>
    <xf numFmtId="37" fontId="0" fillId="0" borderId="2" xfId="0" applyNumberFormat="1" applyBorder="1"/>
    <xf numFmtId="167" fontId="2" fillId="0" borderId="3" xfId="1" applyNumberFormat="1" applyFont="1" applyBorder="1"/>
    <xf numFmtId="167" fontId="2" fillId="0" borderId="2" xfId="1" applyNumberFormat="1" applyFont="1" applyBorder="1"/>
    <xf numFmtId="0" fontId="0" fillId="13" borderId="0" xfId="0" applyFill="1"/>
    <xf numFmtId="37" fontId="4" fillId="13" borderId="0" xfId="0" applyNumberFormat="1" applyFont="1" applyFill="1" applyAlignment="1">
      <alignment horizontal="right" vertical="top"/>
    </xf>
    <xf numFmtId="167" fontId="0" fillId="13" borderId="0" xfId="1" applyNumberFormat="1" applyFont="1" applyFill="1"/>
    <xf numFmtId="37" fontId="0" fillId="13" borderId="0" xfId="0" applyNumberFormat="1" applyFill="1"/>
    <xf numFmtId="168" fontId="0" fillId="13" borderId="0" xfId="0" applyNumberFormat="1" applyFill="1"/>
    <xf numFmtId="166" fontId="6" fillId="14" borderId="0" xfId="0" applyNumberFormat="1" applyFont="1" applyFill="1" applyAlignment="1">
      <alignment horizontal="center" vertical="top"/>
    </xf>
    <xf numFmtId="9" fontId="8" fillId="9" borderId="0" xfId="0" applyNumberFormat="1" applyFont="1" applyFill="1"/>
    <xf numFmtId="167" fontId="2" fillId="9" borderId="3" xfId="0" applyNumberFormat="1" applyFont="1" applyFill="1" applyBorder="1"/>
    <xf numFmtId="0" fontId="20" fillId="0" borderId="0" xfId="0" applyFont="1"/>
    <xf numFmtId="9" fontId="20" fillId="0" borderId="0" xfId="2" applyFont="1"/>
    <xf numFmtId="167" fontId="2" fillId="0" borderId="3" xfId="0" applyNumberFormat="1" applyFont="1" applyBorder="1"/>
    <xf numFmtId="167" fontId="20" fillId="0" borderId="2" xfId="2" applyNumberFormat="1" applyFont="1" applyBorder="1"/>
    <xf numFmtId="0" fontId="2" fillId="7" borderId="2" xfId="0" applyFont="1" applyFill="1" applyBorder="1"/>
    <xf numFmtId="167" fontId="20" fillId="9" borderId="2" xfId="2" applyNumberFormat="1" applyFont="1" applyFill="1" applyBorder="1"/>
    <xf numFmtId="0" fontId="21" fillId="0" borderId="0" xfId="0" applyFont="1" applyAlignment="1">
      <alignment vertical="center"/>
    </xf>
    <xf numFmtId="0" fontId="7" fillId="2" borderId="0" xfId="0" applyFont="1" applyFill="1" applyAlignment="1">
      <alignment vertical="top"/>
    </xf>
    <xf numFmtId="0" fontId="22" fillId="0" borderId="0" xfId="0" applyFont="1"/>
    <xf numFmtId="0" fontId="23" fillId="0" borderId="0" xfId="0" applyFont="1" applyAlignment="1">
      <alignment vertical="top"/>
    </xf>
    <xf numFmtId="166" fontId="7" fillId="2" borderId="0" xfId="0" applyNumberFormat="1" applyFont="1" applyFill="1" applyAlignment="1">
      <alignment horizontal="center" vertical="top"/>
    </xf>
    <xf numFmtId="166" fontId="7" fillId="0" borderId="0" xfId="0" applyNumberFormat="1" applyFont="1" applyAlignment="1">
      <alignment horizontal="center" vertical="top"/>
    </xf>
    <xf numFmtId="0" fontId="7" fillId="2" borderId="0" xfId="0" applyFont="1" applyFill="1" applyAlignment="1">
      <alignment vertical="top" wrapText="1"/>
    </xf>
    <xf numFmtId="15" fontId="7" fillId="2" borderId="0" xfId="0" applyNumberFormat="1" applyFont="1" applyFill="1" applyAlignment="1">
      <alignment horizontal="center" vertical="top" wrapText="1"/>
    </xf>
    <xf numFmtId="15" fontId="7" fillId="0" borderId="0" xfId="0" applyNumberFormat="1" applyFont="1" applyAlignment="1">
      <alignment horizontal="center" vertical="top" wrapText="1"/>
    </xf>
    <xf numFmtId="15" fontId="7" fillId="10" borderId="0" xfId="0" applyNumberFormat="1" applyFont="1" applyFill="1" applyAlignment="1">
      <alignment horizontal="center" vertical="top" wrapText="1"/>
    </xf>
    <xf numFmtId="167" fontId="0" fillId="0" borderId="0" xfId="0" applyNumberFormat="1"/>
    <xf numFmtId="15" fontId="0" fillId="0" borderId="0" xfId="0" applyNumberFormat="1"/>
    <xf numFmtId="0" fontId="26" fillId="2" borderId="0" xfId="0" applyFont="1" applyFill="1" applyAlignment="1">
      <alignment horizontal="left" vertical="top"/>
    </xf>
    <xf numFmtId="166" fontId="7" fillId="4" borderId="0" xfId="0" applyNumberFormat="1" applyFont="1" applyFill="1" applyAlignment="1">
      <alignment horizontal="center" vertical="top"/>
    </xf>
    <xf numFmtId="165" fontId="24" fillId="6" borderId="0" xfId="0" applyNumberFormat="1" applyFont="1" applyFill="1" applyAlignment="1">
      <alignment horizontal="right" vertical="top" wrapText="1"/>
    </xf>
    <xf numFmtId="0" fontId="0" fillId="9" borderId="0" xfId="0" applyFill="1"/>
    <xf numFmtId="165" fontId="24" fillId="0" borderId="0" xfId="0" applyNumberFormat="1" applyFont="1" applyAlignment="1">
      <alignment horizontal="left" vertical="top"/>
    </xf>
    <xf numFmtId="165" fontId="27" fillId="0" borderId="0" xfId="0" applyNumberFormat="1" applyFont="1" applyAlignment="1">
      <alignment horizontal="left" vertical="top" wrapText="1"/>
    </xf>
    <xf numFmtId="165" fontId="27" fillId="0" borderId="0" xfId="0" applyNumberFormat="1" applyFont="1" applyAlignment="1">
      <alignment horizontal="left" vertical="top"/>
    </xf>
    <xf numFmtId="165" fontId="28" fillId="0" borderId="0" xfId="0" applyNumberFormat="1" applyFont="1" applyAlignment="1">
      <alignment horizontal="left" vertical="top"/>
    </xf>
    <xf numFmtId="165" fontId="24" fillId="0" borderId="0" xfId="0" applyNumberFormat="1" applyFont="1" applyAlignment="1">
      <alignment horizontal="right" vertical="top" wrapText="1"/>
    </xf>
    <xf numFmtId="165" fontId="24" fillId="9" borderId="0" xfId="0" applyNumberFormat="1" applyFont="1" applyFill="1" applyAlignment="1">
      <alignment horizontal="right" vertical="top" wrapText="1"/>
    </xf>
    <xf numFmtId="165" fontId="29" fillId="0" borderId="0" xfId="0" applyNumberFormat="1" applyFont="1" applyAlignment="1">
      <alignment horizontal="left" vertical="top" wrapText="1"/>
    </xf>
    <xf numFmtId="165" fontId="29" fillId="6" borderId="3" xfId="0" applyNumberFormat="1" applyFont="1" applyFill="1" applyBorder="1" applyAlignment="1">
      <alignment horizontal="right" vertical="top" wrapText="1"/>
    </xf>
    <xf numFmtId="165" fontId="27" fillId="6" borderId="0" xfId="0" applyNumberFormat="1" applyFont="1" applyFill="1" applyAlignment="1">
      <alignment horizontal="right" vertical="top" wrapText="1"/>
    </xf>
    <xf numFmtId="169" fontId="25" fillId="0" borderId="0" xfId="0" applyNumberFormat="1" applyFont="1" applyAlignment="1">
      <alignment horizontal="left" vertical="top"/>
    </xf>
    <xf numFmtId="0" fontId="7" fillId="0" borderId="0" xfId="0" applyFont="1" applyAlignment="1">
      <alignment vertical="top"/>
    </xf>
    <xf numFmtId="0" fontId="32" fillId="0" borderId="0" xfId="0" applyFont="1" applyAlignment="1">
      <alignment horizontal="center" vertical="top"/>
    </xf>
    <xf numFmtId="166" fontId="7" fillId="14" borderId="0" xfId="0" applyNumberFormat="1" applyFont="1" applyFill="1" applyAlignment="1">
      <alignment horizontal="center" vertical="top"/>
    </xf>
    <xf numFmtId="165" fontId="12" fillId="0" borderId="0" xfId="0" applyNumberFormat="1" applyFont="1" applyAlignment="1">
      <alignment horizontal="right" vertical="top" wrapText="1"/>
    </xf>
    <xf numFmtId="165" fontId="12" fillId="13" borderId="0" xfId="0" applyNumberFormat="1" applyFont="1" applyFill="1" applyAlignment="1">
      <alignment horizontal="right" vertical="top" wrapText="1"/>
    </xf>
    <xf numFmtId="0" fontId="25" fillId="0" borderId="0" xfId="0" applyFont="1" applyAlignment="1">
      <alignment vertical="top"/>
    </xf>
    <xf numFmtId="0" fontId="33" fillId="0" borderId="0" xfId="0" applyFont="1" applyAlignment="1">
      <alignment horizontal="left" vertical="top"/>
    </xf>
    <xf numFmtId="165" fontId="3" fillId="0" borderId="0" xfId="0" applyNumberFormat="1" applyFont="1" applyAlignment="1">
      <alignment horizontal="right" vertical="top" wrapText="1"/>
    </xf>
    <xf numFmtId="0" fontId="29" fillId="0" borderId="0" xfId="0" applyFont="1" applyAlignment="1">
      <alignment horizontal="left" vertical="top"/>
    </xf>
    <xf numFmtId="0" fontId="34" fillId="0" borderId="0" xfId="0" applyFont="1" applyAlignment="1">
      <alignment vertical="top"/>
    </xf>
    <xf numFmtId="0" fontId="35" fillId="0" borderId="0" xfId="0" applyFont="1" applyAlignment="1">
      <alignment vertical="top"/>
    </xf>
    <xf numFmtId="0" fontId="36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7" fillId="0" borderId="0" xfId="0" applyFont="1" applyAlignment="1">
      <alignment horizontal="left" vertical="top"/>
    </xf>
    <xf numFmtId="0" fontId="2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165" fontId="22" fillId="0" borderId="0" xfId="0" applyNumberFormat="1" applyFont="1"/>
    <xf numFmtId="165" fontId="33" fillId="0" borderId="2" xfId="0" applyNumberFormat="1" applyFont="1" applyBorder="1"/>
    <xf numFmtId="165" fontId="33" fillId="0" borderId="0" xfId="0" applyNumberFormat="1" applyFont="1"/>
    <xf numFmtId="165" fontId="22" fillId="7" borderId="2" xfId="0" applyNumberFormat="1" applyFont="1" applyFill="1" applyBorder="1"/>
    <xf numFmtId="10" fontId="0" fillId="0" borderId="0" xfId="2" applyNumberFormat="1" applyFont="1" applyFill="1" applyBorder="1"/>
    <xf numFmtId="10" fontId="0" fillId="0" borderId="0" xfId="0" applyNumberFormat="1"/>
    <xf numFmtId="0" fontId="7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0" xfId="0" applyFont="1"/>
    <xf numFmtId="43" fontId="38" fillId="0" borderId="0" xfId="1" applyFont="1"/>
    <xf numFmtId="10" fontId="39" fillId="0" borderId="0" xfId="2" applyNumberFormat="1" applyFont="1"/>
    <xf numFmtId="10" fontId="38" fillId="0" borderId="0" xfId="2" applyNumberFormat="1" applyFont="1" applyAlignment="1">
      <alignment horizontal="center"/>
    </xf>
    <xf numFmtId="10" fontId="0" fillId="7" borderId="0" xfId="2" applyNumberFormat="1" applyFont="1" applyFill="1"/>
    <xf numFmtId="165" fontId="22" fillId="13" borderId="0" xfId="0" applyNumberFormat="1" applyFont="1" applyFill="1"/>
    <xf numFmtId="0" fontId="33" fillId="0" borderId="0" xfId="0" applyFont="1" applyAlignment="1">
      <alignment vertical="top"/>
    </xf>
    <xf numFmtId="170" fontId="23" fillId="0" borderId="0" xfId="0" applyNumberFormat="1" applyFont="1" applyAlignment="1">
      <alignment vertical="top"/>
    </xf>
    <xf numFmtId="170" fontId="23" fillId="12" borderId="7" xfId="0" applyNumberFormat="1" applyFont="1" applyFill="1" applyBorder="1" applyAlignment="1">
      <alignment vertical="top"/>
    </xf>
    <xf numFmtId="170" fontId="0" fillId="13" borderId="0" xfId="0" applyNumberFormat="1" applyFill="1"/>
    <xf numFmtId="168" fontId="23" fillId="12" borderId="7" xfId="2" applyNumberFormat="1" applyFont="1" applyFill="1" applyBorder="1" applyAlignment="1">
      <alignment vertical="top"/>
    </xf>
    <xf numFmtId="170" fontId="23" fillId="13" borderId="0" xfId="0" applyNumberFormat="1" applyFont="1" applyFill="1" applyAlignment="1">
      <alignment vertical="top"/>
    </xf>
    <xf numFmtId="1" fontId="0" fillId="0" borderId="0" xfId="0" applyNumberFormat="1"/>
    <xf numFmtId="169" fontId="25" fillId="0" borderId="4" xfId="0" applyNumberFormat="1" applyFont="1" applyBorder="1" applyAlignment="1">
      <alignment horizontal="center" vertical="top" wrapText="1"/>
    </xf>
    <xf numFmtId="0" fontId="8" fillId="0" borderId="0" xfId="2" applyNumberFormat="1" applyFont="1"/>
    <xf numFmtId="3" fontId="3" fillId="0" borderId="0" xfId="0" applyNumberFormat="1" applyFont="1" applyAlignment="1">
      <alignment horizontal="right" vertical="top"/>
    </xf>
    <xf numFmtId="10" fontId="3" fillId="0" borderId="0" xfId="0" applyNumberFormat="1" applyFont="1" applyAlignment="1">
      <alignment horizontal="right" vertical="top"/>
    </xf>
    <xf numFmtId="10" fontId="12" fillId="0" borderId="0" xfId="0" applyNumberFormat="1" applyFont="1" applyAlignment="1">
      <alignment horizontal="right" vertical="top" wrapText="1"/>
    </xf>
    <xf numFmtId="1" fontId="4" fillId="13" borderId="0" xfId="0" applyNumberFormat="1" applyFont="1" applyFill="1" applyAlignment="1">
      <alignment horizontal="right" vertical="top"/>
    </xf>
    <xf numFmtId="1" fontId="12" fillId="13" borderId="0" xfId="0" applyNumberFormat="1" applyFont="1" applyFill="1" applyAlignment="1">
      <alignment horizontal="right" vertical="top" wrapText="1"/>
    </xf>
    <xf numFmtId="167" fontId="2" fillId="0" borderId="0" xfId="0" applyNumberFormat="1" applyFont="1"/>
    <xf numFmtId="10" fontId="0" fillId="0" borderId="0" xfId="1" applyNumberFormat="1" applyFont="1"/>
    <xf numFmtId="37" fontId="4" fillId="0" borderId="19" xfId="0" applyNumberFormat="1" applyFont="1" applyBorder="1" applyAlignment="1">
      <alignment horizontal="right" vertical="top"/>
    </xf>
    <xf numFmtId="9" fontId="12" fillId="0" borderId="0" xfId="0" applyNumberFormat="1" applyFont="1" applyAlignment="1">
      <alignment horizontal="right" vertical="top" wrapText="1"/>
    </xf>
    <xf numFmtId="0" fontId="2" fillId="15" borderId="0" xfId="0" applyFont="1" applyFill="1"/>
    <xf numFmtId="0" fontId="0" fillId="16" borderId="0" xfId="0" applyFill="1"/>
    <xf numFmtId="37" fontId="4" fillId="0" borderId="20" xfId="0" applyNumberFormat="1" applyFont="1" applyBorder="1" applyAlignment="1">
      <alignment horizontal="right" vertical="top"/>
    </xf>
    <xf numFmtId="165" fontId="29" fillId="0" borderId="0" xfId="0" applyNumberFormat="1" applyFont="1" applyAlignment="1">
      <alignment horizontal="left" vertical="top"/>
    </xf>
    <xf numFmtId="165" fontId="28" fillId="0" borderId="0" xfId="0" applyNumberFormat="1" applyFont="1" applyAlignment="1">
      <alignment horizontal="left" vertical="top" wrapText="1"/>
    </xf>
    <xf numFmtId="9" fontId="0" fillId="0" borderId="0" xfId="0" applyNumberFormat="1"/>
    <xf numFmtId="9" fontId="0" fillId="0" borderId="0" xfId="1" applyNumberFormat="1" applyFont="1"/>
    <xf numFmtId="10" fontId="8" fillId="0" borderId="0" xfId="2" applyNumberFormat="1" applyFont="1"/>
    <xf numFmtId="1" fontId="8" fillId="9" borderId="0" xfId="2" applyNumberFormat="1" applyFont="1" applyFill="1"/>
    <xf numFmtId="167" fontId="2" fillId="0" borderId="3" xfId="2" applyNumberFormat="1" applyFont="1" applyBorder="1"/>
    <xf numFmtId="0" fontId="4" fillId="13" borderId="0" xfId="0" applyFont="1" applyFill="1" applyAlignment="1">
      <alignment vertical="top" wrapText="1"/>
    </xf>
    <xf numFmtId="167" fontId="4" fillId="0" borderId="0" xfId="1" applyNumberFormat="1" applyFont="1" applyFill="1" applyAlignment="1">
      <alignment vertical="top" wrapText="1"/>
    </xf>
    <xf numFmtId="165" fontId="4" fillId="0" borderId="0" xfId="0" applyNumberFormat="1" applyFont="1" applyAlignment="1">
      <alignment horizontal="right" vertical="top" wrapText="1"/>
    </xf>
    <xf numFmtId="167" fontId="4" fillId="0" borderId="0" xfId="1" applyNumberFormat="1" applyFont="1" applyFill="1" applyAlignment="1">
      <alignment vertical="top"/>
    </xf>
    <xf numFmtId="10" fontId="4" fillId="0" borderId="0" xfId="0" applyNumberFormat="1" applyFont="1" applyAlignment="1">
      <alignment horizontal="right" vertical="top"/>
    </xf>
    <xf numFmtId="0" fontId="7" fillId="18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167" fontId="3" fillId="0" borderId="0" xfId="1" applyNumberFormat="1" applyFont="1" applyFill="1" applyAlignment="1">
      <alignment horizontal="right" vertical="top"/>
    </xf>
    <xf numFmtId="167" fontId="3" fillId="0" borderId="0" xfId="1" applyNumberFormat="1" applyFont="1" applyFill="1" applyBorder="1" applyAlignment="1">
      <alignment horizontal="right" vertical="top"/>
    </xf>
    <xf numFmtId="167" fontId="4" fillId="13" borderId="2" xfId="1" applyNumberFormat="1" applyFont="1" applyFill="1" applyBorder="1" applyAlignment="1">
      <alignment horizontal="right" vertical="top"/>
    </xf>
    <xf numFmtId="167" fontId="4" fillId="13" borderId="3" xfId="1" applyNumberFormat="1" applyFont="1" applyFill="1" applyBorder="1" applyAlignment="1">
      <alignment horizontal="right" vertical="top"/>
    </xf>
    <xf numFmtId="167" fontId="0" fillId="0" borderId="0" xfId="1" applyNumberFormat="1" applyFont="1" applyFill="1" applyAlignment="1">
      <alignment vertical="top"/>
    </xf>
    <xf numFmtId="167" fontId="0" fillId="0" borderId="0" xfId="1" applyNumberFormat="1" applyFont="1" applyFill="1" applyBorder="1" applyAlignment="1">
      <alignment vertical="top"/>
    </xf>
    <xf numFmtId="167" fontId="3" fillId="0" borderId="0" xfId="1" applyNumberFormat="1" applyFont="1" applyFill="1" applyAlignment="1">
      <alignment vertical="top"/>
    </xf>
    <xf numFmtId="167" fontId="4" fillId="0" borderId="0" xfId="1" applyNumberFormat="1" applyFont="1" applyFill="1" applyBorder="1" applyAlignment="1">
      <alignment horizontal="right" vertical="top"/>
    </xf>
    <xf numFmtId="167" fontId="4" fillId="13" borderId="0" xfId="1" applyNumberFormat="1" applyFont="1" applyFill="1" applyBorder="1" applyAlignment="1">
      <alignment horizontal="right" vertical="top"/>
    </xf>
    <xf numFmtId="37" fontId="42" fillId="0" borderId="0" xfId="0" applyNumberFormat="1" applyFont="1"/>
    <xf numFmtId="9" fontId="4" fillId="0" borderId="0" xfId="2" applyFont="1" applyAlignment="1">
      <alignment horizontal="right" vertical="top"/>
    </xf>
    <xf numFmtId="166" fontId="6" fillId="20" borderId="0" xfId="0" applyNumberFormat="1" applyFont="1" applyFill="1" applyAlignment="1">
      <alignment horizontal="center" vertical="top"/>
    </xf>
    <xf numFmtId="0" fontId="7" fillId="16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33" fillId="1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67" fontId="25" fillId="0" borderId="0" xfId="0" applyNumberFormat="1" applyFont="1" applyAlignment="1">
      <alignment vertical="top"/>
    </xf>
    <xf numFmtId="169" fontId="25" fillId="13" borderId="4" xfId="0" applyNumberFormat="1" applyFont="1" applyFill="1" applyBorder="1" applyAlignment="1">
      <alignment vertical="top"/>
    </xf>
    <xf numFmtId="0" fontId="31" fillId="13" borderId="5" xfId="0" applyFont="1" applyFill="1" applyBorder="1"/>
    <xf numFmtId="0" fontId="31" fillId="13" borderId="6" xfId="0" applyFont="1" applyFill="1" applyBorder="1"/>
    <xf numFmtId="3" fontId="0" fillId="0" borderId="0" xfId="0" applyNumberFormat="1"/>
    <xf numFmtId="9" fontId="0" fillId="9" borderId="0" xfId="0" applyNumberFormat="1" applyFill="1"/>
    <xf numFmtId="9" fontId="0" fillId="17" borderId="0" xfId="0" applyNumberFormat="1" applyFill="1"/>
    <xf numFmtId="170" fontId="0" fillId="0" borderId="0" xfId="0" applyNumberFormat="1"/>
    <xf numFmtId="169" fontId="25" fillId="0" borderId="4" xfId="0" applyNumberFormat="1" applyFont="1" applyBorder="1" applyAlignment="1">
      <alignment horizontal="center" vertical="top"/>
    </xf>
    <xf numFmtId="0" fontId="46" fillId="0" borderId="0" xfId="0" applyFont="1"/>
    <xf numFmtId="0" fontId="47" fillId="0" borderId="0" xfId="0" applyFont="1"/>
    <xf numFmtId="0" fontId="48" fillId="0" borderId="0" xfId="0" applyFont="1" applyAlignment="1">
      <alignment vertical="top"/>
    </xf>
    <xf numFmtId="167" fontId="47" fillId="0" borderId="0" xfId="1" applyNumberFormat="1" applyFont="1"/>
    <xf numFmtId="37" fontId="47" fillId="0" borderId="0" xfId="0" applyNumberFormat="1" applyFont="1"/>
    <xf numFmtId="167" fontId="47" fillId="0" borderId="0" xfId="1" applyNumberFormat="1" applyFont="1" applyFill="1" applyBorder="1"/>
    <xf numFmtId="168" fontId="47" fillId="0" borderId="0" xfId="2" applyNumberFormat="1" applyFont="1"/>
    <xf numFmtId="168" fontId="47" fillId="11" borderId="1" xfId="2" applyNumberFormat="1" applyFont="1" applyFill="1" applyBorder="1"/>
    <xf numFmtId="0" fontId="47" fillId="16" borderId="0" xfId="0" applyFont="1" applyFill="1"/>
    <xf numFmtId="0" fontId="45" fillId="19" borderId="0" xfId="0" applyFont="1" applyFill="1" applyAlignment="1">
      <alignment vertical="top"/>
    </xf>
    <xf numFmtId="167" fontId="47" fillId="16" borderId="0" xfId="1" applyNumberFormat="1" applyFont="1" applyFill="1"/>
    <xf numFmtId="1" fontId="47" fillId="16" borderId="0" xfId="0" applyNumberFormat="1" applyFont="1" applyFill="1"/>
    <xf numFmtId="43" fontId="47" fillId="16" borderId="0" xfId="1" applyFont="1" applyFill="1"/>
    <xf numFmtId="0" fontId="47" fillId="16" borderId="2" xfId="0" applyFont="1" applyFill="1" applyBorder="1"/>
    <xf numFmtId="1" fontId="47" fillId="16" borderId="2" xfId="0" applyNumberFormat="1" applyFont="1" applyFill="1" applyBorder="1"/>
    <xf numFmtId="167" fontId="47" fillId="16" borderId="2" xfId="0" applyNumberFormat="1" applyFont="1" applyFill="1" applyBorder="1"/>
    <xf numFmtId="37" fontId="47" fillId="16" borderId="0" xfId="0" applyNumberFormat="1" applyFont="1" applyFill="1"/>
    <xf numFmtId="167" fontId="47" fillId="16" borderId="0" xfId="0" applyNumberFormat="1" applyFont="1" applyFill="1"/>
    <xf numFmtId="0" fontId="49" fillId="16" borderId="0" xfId="0" applyFont="1" applyFill="1"/>
    <xf numFmtId="169" fontId="53" fillId="16" borderId="0" xfId="0" applyNumberFormat="1" applyFont="1" applyFill="1" applyAlignment="1">
      <alignment horizontal="center" vertical="top" wrapText="1"/>
    </xf>
    <xf numFmtId="168" fontId="47" fillId="0" borderId="0" xfId="2" applyNumberFormat="1" applyFont="1" applyBorder="1"/>
    <xf numFmtId="168" fontId="47" fillId="0" borderId="0" xfId="0" applyNumberFormat="1" applyFont="1"/>
    <xf numFmtId="167" fontId="47" fillId="0" borderId="0" xfId="0" applyNumberFormat="1" applyFont="1"/>
    <xf numFmtId="2" fontId="47" fillId="16" borderId="0" xfId="1" applyNumberFormat="1" applyFont="1" applyFill="1" applyBorder="1" applyAlignment="1"/>
    <xf numFmtId="3" fontId="8" fillId="0" borderId="0" xfId="2" applyNumberFormat="1" applyFont="1"/>
    <xf numFmtId="3" fontId="0" fillId="17" borderId="0" xfId="0" applyNumberFormat="1" applyFill="1"/>
    <xf numFmtId="3" fontId="8" fillId="9" borderId="0" xfId="2" applyNumberFormat="1" applyFont="1" applyFill="1"/>
    <xf numFmtId="3" fontId="0" fillId="9" borderId="0" xfId="0" applyNumberFormat="1" applyFill="1"/>
    <xf numFmtId="10" fontId="0" fillId="17" borderId="0" xfId="1" applyNumberFormat="1" applyFont="1" applyFill="1"/>
    <xf numFmtId="9" fontId="8" fillId="17" borderId="0" xfId="2" applyFont="1" applyFill="1"/>
    <xf numFmtId="3" fontId="0" fillId="16" borderId="0" xfId="0" applyNumberFormat="1" applyFill="1"/>
    <xf numFmtId="9" fontId="0" fillId="16" borderId="0" xfId="0" applyNumberFormat="1" applyFill="1"/>
    <xf numFmtId="0" fontId="44" fillId="22" borderId="0" xfId="0" applyFont="1" applyFill="1" applyAlignment="1">
      <alignment vertical="top"/>
    </xf>
    <xf numFmtId="0" fontId="54" fillId="0" borderId="0" xfId="0" applyFont="1" applyAlignment="1">
      <alignment vertical="top" wrapText="1"/>
    </xf>
    <xf numFmtId="167" fontId="4" fillId="0" borderId="0" xfId="1" applyNumberFormat="1" applyFont="1" applyFill="1" applyAlignment="1">
      <alignment horizontal="right" vertical="top" wrapText="1"/>
    </xf>
    <xf numFmtId="1" fontId="55" fillId="13" borderId="0" xfId="0" applyNumberFormat="1" applyFont="1" applyFill="1" applyAlignment="1">
      <alignment horizontal="right" vertical="top" wrapText="1"/>
    </xf>
    <xf numFmtId="10" fontId="3" fillId="0" borderId="0" xfId="1" applyNumberFormat="1" applyFont="1" applyFill="1" applyAlignment="1">
      <alignment horizontal="right" vertical="top" wrapText="1"/>
    </xf>
    <xf numFmtId="0" fontId="34" fillId="0" borderId="0" xfId="0" applyFont="1"/>
    <xf numFmtId="0" fontId="56" fillId="0" borderId="0" xfId="0" applyFont="1"/>
    <xf numFmtId="3" fontId="4" fillId="0" borderId="2" xfId="0" applyNumberFormat="1" applyFont="1" applyBorder="1" applyAlignment="1">
      <alignment horizontal="right" vertical="top"/>
    </xf>
    <xf numFmtId="0" fontId="2" fillId="0" borderId="21" xfId="0" applyFont="1" applyBorder="1"/>
    <xf numFmtId="0" fontId="33" fillId="0" borderId="22" xfId="0" applyFont="1" applyBorder="1"/>
    <xf numFmtId="10" fontId="4" fillId="0" borderId="0" xfId="1" applyNumberFormat="1" applyFont="1" applyFill="1" applyAlignment="1">
      <alignment vertical="top"/>
    </xf>
    <xf numFmtId="1" fontId="11" fillId="13" borderId="0" xfId="0" applyNumberFormat="1" applyFont="1" applyFill="1"/>
    <xf numFmtId="167" fontId="42" fillId="0" borderId="0" xfId="1" applyNumberFormat="1" applyFont="1" applyFill="1" applyBorder="1" applyAlignment="1"/>
    <xf numFmtId="0" fontId="0" fillId="0" borderId="27" xfId="0" applyBorder="1"/>
    <xf numFmtId="0" fontId="0" fillId="0" borderId="28" xfId="0" applyBorder="1"/>
    <xf numFmtId="167" fontId="0" fillId="0" borderId="0" xfId="1" applyNumberFormat="1" applyFont="1" applyBorder="1"/>
    <xf numFmtId="167" fontId="0" fillId="0" borderId="1" xfId="0" applyNumberFormat="1" applyBorder="1"/>
    <xf numFmtId="0" fontId="10" fillId="0" borderId="0" xfId="0" applyFont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34" fillId="0" borderId="23" xfId="0" applyFont="1" applyBorder="1"/>
    <xf numFmtId="0" fontId="33" fillId="0" borderId="24" xfId="0" applyFont="1" applyBorder="1"/>
    <xf numFmtId="0" fontId="33" fillId="0" borderId="25" xfId="0" applyFont="1" applyBorder="1"/>
    <xf numFmtId="0" fontId="33" fillId="0" borderId="0" xfId="0" applyFont="1"/>
    <xf numFmtId="0" fontId="33" fillId="16" borderId="0" xfId="0" applyFont="1" applyFill="1"/>
    <xf numFmtId="168" fontId="2" fillId="0" borderId="0" xfId="2" applyNumberFormat="1" applyFont="1"/>
    <xf numFmtId="166" fontId="57" fillId="20" borderId="0" xfId="0" applyNumberFormat="1" applyFont="1" applyFill="1" applyAlignment="1">
      <alignment horizontal="center" vertical="top"/>
    </xf>
    <xf numFmtId="15" fontId="57" fillId="20" borderId="0" xfId="0" applyNumberFormat="1" applyFont="1" applyFill="1" applyAlignment="1">
      <alignment horizontal="center" vertical="top" wrapText="1"/>
    </xf>
    <xf numFmtId="167" fontId="47" fillId="0" borderId="0" xfId="1" applyNumberFormat="1" applyFont="1" applyBorder="1"/>
    <xf numFmtId="43" fontId="47" fillId="0" borderId="0" xfId="1" applyFont="1" applyBorder="1"/>
    <xf numFmtId="166" fontId="45" fillId="19" borderId="0" xfId="0" applyNumberFormat="1" applyFont="1" applyFill="1" applyAlignment="1">
      <alignment horizontal="center" vertical="top"/>
    </xf>
    <xf numFmtId="166" fontId="45" fillId="16" borderId="0" xfId="0" applyNumberFormat="1" applyFont="1" applyFill="1" applyAlignment="1">
      <alignment horizontal="center" vertical="top"/>
    </xf>
    <xf numFmtId="166" fontId="45" fillId="20" borderId="0" xfId="0" applyNumberFormat="1" applyFont="1" applyFill="1" applyAlignment="1">
      <alignment horizontal="center" vertical="top"/>
    </xf>
    <xf numFmtId="15" fontId="45" fillId="19" borderId="0" xfId="0" applyNumberFormat="1" applyFont="1" applyFill="1" applyAlignment="1">
      <alignment horizontal="center" vertical="top" wrapText="1"/>
    </xf>
    <xf numFmtId="15" fontId="45" fillId="16" borderId="0" xfId="0" applyNumberFormat="1" applyFont="1" applyFill="1" applyAlignment="1">
      <alignment horizontal="center" vertical="top" wrapText="1"/>
    </xf>
    <xf numFmtId="15" fontId="45" fillId="20" borderId="0" xfId="0" applyNumberFormat="1" applyFont="1" applyFill="1" applyAlignment="1">
      <alignment horizontal="center" vertical="top" wrapText="1"/>
    </xf>
    <xf numFmtId="166" fontId="59" fillId="20" borderId="0" xfId="0" applyNumberFormat="1" applyFont="1" applyFill="1" applyAlignment="1">
      <alignment horizontal="center" vertical="top"/>
    </xf>
    <xf numFmtId="0" fontId="58" fillId="23" borderId="16" xfId="0" applyFont="1" applyFill="1" applyBorder="1"/>
    <xf numFmtId="166" fontId="58" fillId="24" borderId="0" xfId="0" applyNumberFormat="1" applyFont="1" applyFill="1" applyAlignment="1">
      <alignment horizontal="center" vertical="top"/>
    </xf>
    <xf numFmtId="166" fontId="58" fillId="25" borderId="0" xfId="0" applyNumberFormat="1" applyFont="1" applyFill="1" applyAlignment="1">
      <alignment horizontal="center" vertical="top"/>
    </xf>
    <xf numFmtId="15" fontId="59" fillId="20" borderId="0" xfId="0" applyNumberFormat="1" applyFont="1" applyFill="1" applyAlignment="1">
      <alignment horizontal="center" vertical="top" wrapText="1"/>
    </xf>
    <xf numFmtId="0" fontId="60" fillId="9" borderId="29" xfId="0" applyFont="1" applyFill="1" applyBorder="1"/>
    <xf numFmtId="15" fontId="58" fillId="24" borderId="0" xfId="0" applyNumberFormat="1" applyFont="1" applyFill="1" applyAlignment="1">
      <alignment horizontal="center" vertical="top" wrapText="1"/>
    </xf>
    <xf numFmtId="15" fontId="58" fillId="22" borderId="0" xfId="0" applyNumberFormat="1" applyFont="1" applyFill="1" applyAlignment="1">
      <alignment horizontal="center" vertical="top" wrapText="1"/>
    </xf>
    <xf numFmtId="167" fontId="61" fillId="0" borderId="0" xfId="1" applyNumberFormat="1" applyFont="1"/>
    <xf numFmtId="0" fontId="61" fillId="0" borderId="9" xfId="0" applyFont="1" applyBorder="1"/>
    <xf numFmtId="0" fontId="62" fillId="0" borderId="0" xfId="0" applyFont="1"/>
    <xf numFmtId="37" fontId="61" fillId="0" borderId="0" xfId="0" applyNumberFormat="1" applyFont="1"/>
    <xf numFmtId="167" fontId="61" fillId="0" borderId="0" xfId="1" applyNumberFormat="1" applyFont="1" applyFill="1"/>
    <xf numFmtId="0" fontId="62" fillId="0" borderId="8" xfId="0" applyFont="1" applyBorder="1"/>
    <xf numFmtId="167" fontId="61" fillId="0" borderId="0" xfId="1" applyNumberFormat="1" applyFont="1" applyBorder="1"/>
    <xf numFmtId="0" fontId="62" fillId="0" borderId="9" xfId="0" applyFont="1" applyBorder="1"/>
    <xf numFmtId="0" fontId="62" fillId="0" borderId="30" xfId="0" applyFont="1" applyBorder="1"/>
    <xf numFmtId="0" fontId="62" fillId="0" borderId="31" xfId="0" applyFont="1" applyBorder="1"/>
    <xf numFmtId="0" fontId="65" fillId="0" borderId="0" xfId="0" applyFont="1"/>
    <xf numFmtId="0" fontId="60" fillId="21" borderId="29" xfId="0" applyFont="1" applyFill="1" applyBorder="1"/>
    <xf numFmtId="0" fontId="61" fillId="21" borderId="19" xfId="0" applyFont="1" applyFill="1" applyBorder="1"/>
    <xf numFmtId="0" fontId="61" fillId="21" borderId="32" xfId="0" applyFont="1" applyFill="1" applyBorder="1"/>
    <xf numFmtId="0" fontId="61" fillId="0" borderId="0" xfId="0" applyFont="1"/>
    <xf numFmtId="0" fontId="61" fillId="0" borderId="17" xfId="0" applyFont="1" applyBorder="1"/>
    <xf numFmtId="0" fontId="61" fillId="0" borderId="8" xfId="0" applyFont="1" applyBorder="1"/>
    <xf numFmtId="3" fontId="62" fillId="0" borderId="0" xfId="0" applyNumberFormat="1" applyFont="1"/>
    <xf numFmtId="3" fontId="61" fillId="0" borderId="0" xfId="0" applyNumberFormat="1" applyFont="1"/>
    <xf numFmtId="3" fontId="61" fillId="0" borderId="0" xfId="1" applyNumberFormat="1" applyFont="1" applyFill="1" applyBorder="1"/>
    <xf numFmtId="3" fontId="62" fillId="0" borderId="34" xfId="0" applyNumberFormat="1" applyFont="1" applyBorder="1"/>
    <xf numFmtId="0" fontId="23" fillId="0" borderId="18" xfId="0" applyFont="1" applyBorder="1"/>
    <xf numFmtId="0" fontId="23" fillId="0" borderId="26" xfId="0" applyFont="1" applyBorder="1"/>
    <xf numFmtId="0" fontId="66" fillId="0" borderId="35" xfId="0" applyFont="1" applyBorder="1"/>
    <xf numFmtId="0" fontId="67" fillId="0" borderId="24" xfId="0" applyFont="1" applyBorder="1"/>
    <xf numFmtId="0" fontId="67" fillId="0" borderId="36" xfId="0" applyFont="1" applyBorder="1"/>
    <xf numFmtId="0" fontId="67" fillId="0" borderId="25" xfId="0" applyFont="1" applyBorder="1"/>
    <xf numFmtId="15" fontId="68" fillId="24" borderId="0" xfId="0" applyNumberFormat="1" applyFont="1" applyFill="1" applyAlignment="1">
      <alignment horizontal="center" vertical="top" wrapText="1"/>
    </xf>
    <xf numFmtId="2" fontId="61" fillId="0" borderId="0" xfId="0" applyNumberFormat="1" applyFont="1"/>
    <xf numFmtId="2" fontId="61" fillId="0" borderId="19" xfId="0" applyNumberFormat="1" applyFont="1" applyBorder="1"/>
    <xf numFmtId="2" fontId="69" fillId="0" borderId="19" xfId="0" applyNumberFormat="1" applyFont="1" applyBorder="1"/>
    <xf numFmtId="2" fontId="69" fillId="0" borderId="32" xfId="0" applyNumberFormat="1" applyFont="1" applyBorder="1"/>
    <xf numFmtId="9" fontId="61" fillId="0" borderId="0" xfId="2" applyFont="1" applyBorder="1" applyAlignment="1"/>
    <xf numFmtId="9" fontId="61" fillId="0" borderId="18" xfId="2" applyFont="1" applyBorder="1" applyAlignment="1"/>
    <xf numFmtId="3" fontId="47" fillId="0" borderId="0" xfId="0" applyNumberFormat="1" applyFont="1"/>
    <xf numFmtId="0" fontId="63" fillId="0" borderId="2" xfId="0" applyFont="1" applyBorder="1"/>
    <xf numFmtId="2" fontId="61" fillId="16" borderId="0" xfId="0" applyNumberFormat="1" applyFont="1" applyFill="1"/>
    <xf numFmtId="169" fontId="64" fillId="0" borderId="2" xfId="0" applyNumberFormat="1" applyFont="1" applyBorder="1" applyAlignment="1">
      <alignment vertical="top" wrapText="1"/>
    </xf>
    <xf numFmtId="3" fontId="61" fillId="0" borderId="17" xfId="0" applyNumberFormat="1" applyFont="1" applyBorder="1"/>
    <xf numFmtId="3" fontId="61" fillId="0" borderId="2" xfId="0" applyNumberFormat="1" applyFont="1" applyBorder="1"/>
    <xf numFmtId="3" fontId="62" fillId="0" borderId="33" xfId="0" applyNumberFormat="1" applyFont="1" applyBorder="1"/>
    <xf numFmtId="0" fontId="66" fillId="0" borderId="0" xfId="0" applyFont="1"/>
    <xf numFmtId="0" fontId="71" fillId="0" borderId="0" xfId="0" applyFont="1"/>
    <xf numFmtId="2" fontId="0" fillId="0" borderId="0" xfId="0" applyNumberFormat="1"/>
    <xf numFmtId="37" fontId="0" fillId="0" borderId="1" xfId="0" applyNumberFormat="1" applyBorder="1"/>
    <xf numFmtId="37" fontId="0" fillId="0" borderId="20" xfId="0" applyNumberFormat="1" applyBorder="1"/>
    <xf numFmtId="10" fontId="0" fillId="0" borderId="20" xfId="0" applyNumberFormat="1" applyBorder="1"/>
    <xf numFmtId="37" fontId="2" fillId="0" borderId="20" xfId="0" applyNumberFormat="1" applyFont="1" applyBorder="1"/>
    <xf numFmtId="37" fontId="4" fillId="16" borderId="0" xfId="0" applyNumberFormat="1" applyFont="1" applyFill="1" applyAlignment="1">
      <alignment horizontal="right" vertical="top"/>
    </xf>
    <xf numFmtId="37" fontId="4" fillId="16" borderId="8" xfId="0" applyNumberFormat="1" applyFont="1" applyFill="1" applyBorder="1" applyAlignment="1">
      <alignment horizontal="right" vertical="top"/>
    </xf>
    <xf numFmtId="165" fontId="12" fillId="16" borderId="0" xfId="0" applyNumberFormat="1" applyFont="1" applyFill="1" applyAlignment="1">
      <alignment horizontal="right" vertical="top" wrapText="1"/>
    </xf>
    <xf numFmtId="165" fontId="12" fillId="16" borderId="8" xfId="0" applyNumberFormat="1" applyFont="1" applyFill="1" applyBorder="1" applyAlignment="1">
      <alignment horizontal="right" vertical="top" wrapText="1"/>
    </xf>
    <xf numFmtId="167" fontId="0" fillId="16" borderId="0" xfId="1" applyNumberFormat="1" applyFont="1" applyFill="1"/>
    <xf numFmtId="37" fontId="0" fillId="16" borderId="8" xfId="0" applyNumberFormat="1" applyFill="1" applyBorder="1"/>
    <xf numFmtId="0" fontId="0" fillId="16" borderId="8" xfId="0" applyFill="1" applyBorder="1"/>
    <xf numFmtId="10" fontId="3" fillId="16" borderId="0" xfId="0" applyNumberFormat="1" applyFont="1" applyFill="1" applyAlignment="1">
      <alignment horizontal="right" vertical="top"/>
    </xf>
    <xf numFmtId="37" fontId="4" fillId="16" borderId="2" xfId="0" applyNumberFormat="1" applyFont="1" applyFill="1" applyBorder="1" applyAlignment="1">
      <alignment horizontal="right" vertical="top"/>
    </xf>
    <xf numFmtId="37" fontId="4" fillId="16" borderId="9" xfId="0" applyNumberFormat="1" applyFont="1" applyFill="1" applyBorder="1" applyAlignment="1">
      <alignment horizontal="right" vertical="top"/>
    </xf>
    <xf numFmtId="1" fontId="0" fillId="16" borderId="0" xfId="0" applyNumberFormat="1" applyFill="1"/>
    <xf numFmtId="0" fontId="11" fillId="16" borderId="0" xfId="0" applyFont="1" applyFill="1"/>
    <xf numFmtId="0" fontId="11" fillId="16" borderId="8" xfId="0" applyFont="1" applyFill="1" applyBorder="1"/>
    <xf numFmtId="165" fontId="3" fillId="16" borderId="0" xfId="0" applyNumberFormat="1" applyFont="1" applyFill="1" applyAlignment="1">
      <alignment horizontal="right" vertical="top" wrapText="1"/>
    </xf>
    <xf numFmtId="165" fontId="0" fillId="16" borderId="8" xfId="0" applyNumberFormat="1" applyFill="1" applyBorder="1"/>
    <xf numFmtId="37" fontId="0" fillId="16" borderId="0" xfId="0" applyNumberFormat="1" applyFill="1"/>
    <xf numFmtId="43" fontId="3" fillId="16" borderId="0" xfId="1" applyFont="1" applyFill="1" applyAlignment="1">
      <alignment horizontal="right" vertical="top"/>
    </xf>
    <xf numFmtId="43" fontId="3" fillId="16" borderId="10" xfId="1" applyFont="1" applyFill="1" applyBorder="1" applyAlignment="1">
      <alignment horizontal="right" vertical="top"/>
    </xf>
    <xf numFmtId="168" fontId="0" fillId="16" borderId="0" xfId="0" applyNumberFormat="1" applyFill="1"/>
    <xf numFmtId="168" fontId="0" fillId="16" borderId="1" xfId="0" applyNumberFormat="1" applyFill="1" applyBorder="1"/>
    <xf numFmtId="9" fontId="0" fillId="16" borderId="0" xfId="2" applyFont="1" applyFill="1"/>
    <xf numFmtId="43" fontId="0" fillId="16" borderId="0" xfId="1" applyFont="1" applyFill="1"/>
    <xf numFmtId="3" fontId="4" fillId="0" borderId="0" xfId="0" applyNumberFormat="1" applyFont="1" applyAlignment="1">
      <alignment horizontal="right" vertical="top"/>
    </xf>
    <xf numFmtId="3" fontId="2" fillId="16" borderId="0" xfId="0" applyNumberFormat="1" applyFont="1" applyFill="1"/>
    <xf numFmtId="2" fontId="3" fillId="0" borderId="0" xfId="1" applyNumberFormat="1" applyFont="1" applyFill="1" applyBorder="1" applyAlignment="1">
      <alignment horizontal="right" vertical="top"/>
    </xf>
    <xf numFmtId="0" fontId="33" fillId="13" borderId="37" xfId="0" applyFont="1" applyFill="1" applyBorder="1"/>
    <xf numFmtId="0" fontId="33" fillId="13" borderId="38" xfId="0" applyFont="1" applyFill="1" applyBorder="1"/>
    <xf numFmtId="0" fontId="22" fillId="0" borderId="27" xfId="0" applyFont="1" applyBorder="1" applyAlignment="1">
      <alignment horizontal="left"/>
    </xf>
    <xf numFmtId="0" fontId="22" fillId="17" borderId="27" xfId="0" applyFont="1" applyFill="1" applyBorder="1" applyAlignment="1">
      <alignment horizontal="left"/>
    </xf>
    <xf numFmtId="0" fontId="33" fillId="0" borderId="27" xfId="0" applyFont="1" applyBorder="1"/>
    <xf numFmtId="0" fontId="72" fillId="26" borderId="39" xfId="0" applyFont="1" applyFill="1" applyBorder="1"/>
    <xf numFmtId="0" fontId="72" fillId="26" borderId="40" xfId="0" applyFont="1" applyFill="1" applyBorder="1"/>
    <xf numFmtId="0" fontId="72" fillId="26" borderId="8" xfId="0" applyFont="1" applyFill="1" applyBorder="1"/>
    <xf numFmtId="0" fontId="72" fillId="26" borderId="31" xfId="0" applyFont="1" applyFill="1" applyBorder="1"/>
    <xf numFmtId="0" fontId="76" fillId="0" borderId="0" xfId="0" applyFont="1" applyAlignment="1">
      <alignment vertical="top"/>
    </xf>
    <xf numFmtId="0" fontId="78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79" fillId="18" borderId="23" xfId="0" applyFont="1" applyFill="1" applyBorder="1" applyAlignment="1">
      <alignment horizontal="left" vertical="top"/>
    </xf>
    <xf numFmtId="0" fontId="79" fillId="18" borderId="44" xfId="0" applyFont="1" applyFill="1" applyBorder="1" applyAlignment="1">
      <alignment horizontal="left" vertical="top"/>
    </xf>
    <xf numFmtId="0" fontId="79" fillId="18" borderId="45" xfId="0" applyFont="1" applyFill="1" applyBorder="1" applyAlignment="1">
      <alignment horizontal="left" vertical="top"/>
    </xf>
    <xf numFmtId="0" fontId="42" fillId="13" borderId="16" xfId="0" applyFont="1" applyFill="1" applyBorder="1" applyAlignment="1">
      <alignment horizontal="left" vertical="top"/>
    </xf>
    <xf numFmtId="43" fontId="80" fillId="13" borderId="8" xfId="1" applyFont="1" applyFill="1" applyBorder="1" applyAlignment="1">
      <alignment horizontal="left" vertical="top"/>
    </xf>
    <xf numFmtId="0" fontId="42" fillId="0" borderId="8" xfId="3" applyFont="1" applyFill="1" applyBorder="1"/>
    <xf numFmtId="43" fontId="0" fillId="0" borderId="8" xfId="1" applyFont="1" applyFill="1" applyBorder="1" applyAlignment="1">
      <alignment horizontal="left" vertical="top"/>
    </xf>
    <xf numFmtId="0" fontId="2" fillId="0" borderId="16" xfId="0" applyFont="1" applyBorder="1" applyAlignment="1">
      <alignment horizontal="left" vertical="top" wrapText="1"/>
    </xf>
    <xf numFmtId="0" fontId="42" fillId="0" borderId="46" xfId="3" applyFont="1" applyFill="1" applyBorder="1"/>
    <xf numFmtId="43" fontId="0" fillId="0" borderId="10" xfId="1" applyFont="1" applyFill="1" applyBorder="1" applyAlignment="1">
      <alignment horizontal="left" vertical="top"/>
    </xf>
    <xf numFmtId="14" fontId="0" fillId="0" borderId="0" xfId="0" applyNumberFormat="1"/>
    <xf numFmtId="0" fontId="73" fillId="18" borderId="1" xfId="0" applyFont="1" applyFill="1" applyBorder="1"/>
    <xf numFmtId="4" fontId="0" fillId="0" borderId="0" xfId="0" applyNumberFormat="1"/>
    <xf numFmtId="0" fontId="81" fillId="18" borderId="39" xfId="0" applyFont="1" applyFill="1" applyBorder="1" applyAlignment="1">
      <alignment vertical="top"/>
    </xf>
    <xf numFmtId="0" fontId="82" fillId="0" borderId="0" xfId="0" applyFont="1" applyAlignment="1">
      <alignment vertical="top"/>
    </xf>
    <xf numFmtId="0" fontId="80" fillId="0" borderId="0" xfId="0" applyFont="1" applyAlignment="1">
      <alignment vertical="top"/>
    </xf>
    <xf numFmtId="0" fontId="83" fillId="0" borderId="0" xfId="0" applyFont="1" applyAlignment="1">
      <alignment vertical="top"/>
    </xf>
    <xf numFmtId="15" fontId="82" fillId="0" borderId="0" xfId="0" applyNumberFormat="1" applyFont="1" applyAlignment="1">
      <alignment vertical="top"/>
    </xf>
    <xf numFmtId="166" fontId="81" fillId="18" borderId="14" xfId="0" applyNumberFormat="1" applyFont="1" applyFill="1" applyBorder="1" applyAlignment="1">
      <alignment horizontal="center" vertical="top"/>
    </xf>
    <xf numFmtId="166" fontId="81" fillId="18" borderId="15" xfId="0" applyNumberFormat="1" applyFont="1" applyFill="1" applyBorder="1" applyAlignment="1">
      <alignment horizontal="center" vertical="top"/>
    </xf>
    <xf numFmtId="166" fontId="73" fillId="0" borderId="0" xfId="0" applyNumberFormat="1" applyFont="1" applyAlignment="1">
      <alignment horizontal="center" vertical="top"/>
    </xf>
    <xf numFmtId="15" fontId="81" fillId="18" borderId="18" xfId="0" applyNumberFormat="1" applyFont="1" applyFill="1" applyBorder="1" applyAlignment="1">
      <alignment horizontal="center" vertical="top"/>
    </xf>
    <xf numFmtId="15" fontId="81" fillId="18" borderId="26" xfId="0" applyNumberFormat="1" applyFont="1" applyFill="1" applyBorder="1" applyAlignment="1">
      <alignment horizontal="center" vertical="top"/>
    </xf>
    <xf numFmtId="15" fontId="73" fillId="0" borderId="0" xfId="0" applyNumberFormat="1" applyFont="1" applyAlignment="1">
      <alignment horizontal="center" vertical="top"/>
    </xf>
    <xf numFmtId="0" fontId="85" fillId="0" borderId="0" xfId="0" applyFont="1" applyAlignment="1">
      <alignment vertical="top"/>
    </xf>
    <xf numFmtId="15" fontId="42" fillId="0" borderId="0" xfId="0" applyNumberFormat="1" applyFont="1" applyAlignment="1">
      <alignment vertical="top"/>
    </xf>
    <xf numFmtId="165" fontId="80" fillId="0" borderId="0" xfId="1" applyNumberFormat="1" applyFont="1" applyFill="1" applyAlignment="1">
      <alignment vertical="top"/>
    </xf>
    <xf numFmtId="165" fontId="80" fillId="0" borderId="0" xfId="1" applyNumberFormat="1" applyFont="1" applyFill="1" applyBorder="1" applyAlignment="1">
      <alignment vertical="top"/>
    </xf>
    <xf numFmtId="9" fontId="80" fillId="0" borderId="0" xfId="2" applyFont="1" applyFill="1" applyBorder="1" applyAlignment="1">
      <alignment vertical="top"/>
    </xf>
    <xf numFmtId="0" fontId="42" fillId="13" borderId="2" xfId="0" applyFont="1" applyFill="1" applyBorder="1" applyAlignment="1">
      <alignment vertical="top"/>
    </xf>
    <xf numFmtId="165" fontId="42" fillId="13" borderId="2" xfId="1" applyNumberFormat="1" applyFont="1" applyFill="1" applyBorder="1" applyAlignment="1">
      <alignment vertical="top"/>
    </xf>
    <xf numFmtId="165" fontId="42" fillId="0" borderId="0" xfId="1" applyNumberFormat="1" applyFont="1" applyFill="1" applyBorder="1" applyAlignment="1">
      <alignment vertical="top"/>
    </xf>
    <xf numFmtId="0" fontId="80" fillId="0" borderId="0" xfId="0" applyFont="1" applyAlignment="1">
      <alignment horizontal="left" vertical="top"/>
    </xf>
    <xf numFmtId="165" fontId="80" fillId="0" borderId="0" xfId="1" applyNumberFormat="1" applyFont="1" applyFill="1" applyAlignment="1">
      <alignment horizontal="left" vertical="top"/>
    </xf>
    <xf numFmtId="165" fontId="80" fillId="0" borderId="0" xfId="1" applyNumberFormat="1" applyFont="1" applyFill="1" applyBorder="1" applyAlignment="1">
      <alignment horizontal="left" vertical="top"/>
    </xf>
    <xf numFmtId="0" fontId="42" fillId="13" borderId="0" xfId="0" applyFont="1" applyFill="1" applyAlignment="1">
      <alignment vertical="top"/>
    </xf>
    <xf numFmtId="10" fontId="2" fillId="13" borderId="0" xfId="2" applyNumberFormat="1" applyFont="1" applyFill="1"/>
    <xf numFmtId="165" fontId="80" fillId="13" borderId="0" xfId="1" applyNumberFormat="1" applyFont="1" applyFill="1" applyAlignment="1">
      <alignment vertical="top"/>
    </xf>
    <xf numFmtId="43" fontId="80" fillId="0" borderId="0" xfId="1" applyFont="1" applyFill="1" applyAlignment="1">
      <alignment vertical="top"/>
    </xf>
    <xf numFmtId="43" fontId="80" fillId="0" borderId="0" xfId="1" applyFont="1" applyFill="1" applyBorder="1" applyAlignment="1">
      <alignment vertical="top"/>
    </xf>
    <xf numFmtId="43" fontId="80" fillId="0" borderId="0" xfId="1" applyFont="1" applyFill="1" applyAlignment="1">
      <alignment horizontal="left" vertical="top"/>
    </xf>
    <xf numFmtId="43" fontId="80" fillId="0" borderId="0" xfId="1" applyFont="1" applyFill="1" applyBorder="1" applyAlignment="1">
      <alignment horizontal="left" vertical="top"/>
    </xf>
    <xf numFmtId="171" fontId="0" fillId="0" borderId="0" xfId="0" applyNumberFormat="1"/>
    <xf numFmtId="0" fontId="42" fillId="13" borderId="41" xfId="0" applyFont="1" applyFill="1" applyBorder="1" applyAlignment="1">
      <alignment vertical="top"/>
    </xf>
    <xf numFmtId="1" fontId="42" fillId="13" borderId="42" xfId="1" applyNumberFormat="1" applyFont="1" applyFill="1" applyBorder="1" applyAlignment="1">
      <alignment vertical="top"/>
    </xf>
    <xf numFmtId="1" fontId="80" fillId="0" borderId="0" xfId="1" applyNumberFormat="1" applyFont="1" applyFill="1" applyBorder="1" applyAlignment="1">
      <alignment vertical="top"/>
    </xf>
    <xf numFmtId="165" fontId="42" fillId="13" borderId="43" xfId="0" applyNumberFormat="1" applyFont="1" applyFill="1" applyBorder="1" applyAlignment="1">
      <alignment vertical="top"/>
    </xf>
    <xf numFmtId="0" fontId="81" fillId="18" borderId="41" xfId="0" applyFont="1" applyFill="1" applyBorder="1" applyAlignment="1">
      <alignment vertical="top"/>
    </xf>
    <xf numFmtId="165" fontId="42" fillId="0" borderId="0" xfId="1" applyNumberFormat="1" applyFont="1" applyFill="1" applyAlignment="1">
      <alignment vertical="top"/>
    </xf>
    <xf numFmtId="168" fontId="80" fillId="0" borderId="0" xfId="2" applyNumberFormat="1" applyFont="1" applyFill="1" applyAlignment="1">
      <alignment horizontal="right" vertical="top" wrapText="1"/>
    </xf>
    <xf numFmtId="171" fontId="80" fillId="0" borderId="0" xfId="1" applyNumberFormat="1" applyFont="1" applyFill="1" applyAlignment="1">
      <alignment vertical="top"/>
    </xf>
    <xf numFmtId="171" fontId="0" fillId="0" borderId="39" xfId="0" applyNumberFormat="1" applyBorder="1"/>
    <xf numFmtId="10" fontId="0" fillId="0" borderId="41" xfId="0" applyNumberFormat="1" applyBorder="1"/>
    <xf numFmtId="10" fontId="0" fillId="0" borderId="42" xfId="0" applyNumberFormat="1" applyBorder="1"/>
    <xf numFmtId="10" fontId="0" fillId="0" borderId="43" xfId="0" applyNumberFormat="1" applyBorder="1"/>
    <xf numFmtId="168" fontId="0" fillId="0" borderId="40" xfId="2" applyNumberFormat="1" applyFont="1" applyBorder="1"/>
    <xf numFmtId="172" fontId="0" fillId="0" borderId="13" xfId="0" applyNumberFormat="1" applyBorder="1"/>
    <xf numFmtId="172" fontId="0" fillId="0" borderId="14" xfId="0" applyNumberFormat="1" applyBorder="1"/>
    <xf numFmtId="172" fontId="0" fillId="0" borderId="15" xfId="0" applyNumberFormat="1" applyBorder="1"/>
    <xf numFmtId="165" fontId="42" fillId="13" borderId="0" xfId="1" applyNumberFormat="1" applyFont="1" applyFill="1" applyAlignment="1">
      <alignment vertical="top"/>
    </xf>
    <xf numFmtId="168" fontId="0" fillId="0" borderId="8" xfId="2" applyNumberFormat="1" applyFont="1" applyBorder="1"/>
    <xf numFmtId="172" fontId="0" fillId="0" borderId="16" xfId="0" applyNumberFormat="1" applyBorder="1"/>
    <xf numFmtId="172" fontId="0" fillId="13" borderId="0" xfId="0" applyNumberFormat="1" applyFill="1"/>
    <xf numFmtId="172" fontId="0" fillId="0" borderId="17" xfId="0" applyNumberFormat="1" applyBorder="1"/>
    <xf numFmtId="168" fontId="0" fillId="0" borderId="10" xfId="2" applyNumberFormat="1" applyFont="1" applyBorder="1"/>
    <xf numFmtId="172" fontId="0" fillId="0" borderId="46" xfId="0" applyNumberFormat="1" applyBorder="1"/>
    <xf numFmtId="172" fontId="0" fillId="0" borderId="18" xfId="0" applyNumberFormat="1" applyBorder="1"/>
    <xf numFmtId="172" fontId="0" fillId="0" borderId="26" xfId="0" applyNumberFormat="1" applyBorder="1"/>
    <xf numFmtId="0" fontId="42" fillId="13" borderId="42" xfId="0" applyFont="1" applyFill="1" applyBorder="1" applyAlignment="1">
      <alignment vertical="top"/>
    </xf>
    <xf numFmtId="171" fontId="42" fillId="13" borderId="43" xfId="1" applyNumberFormat="1" applyFont="1" applyFill="1" applyBorder="1" applyAlignment="1">
      <alignment vertical="top"/>
    </xf>
    <xf numFmtId="0" fontId="42" fillId="0" borderId="0" xfId="0" applyFont="1" applyAlignment="1">
      <alignment vertical="top"/>
    </xf>
    <xf numFmtId="171" fontId="80" fillId="0" borderId="0" xfId="0" applyNumberFormat="1" applyFont="1" applyAlignment="1">
      <alignment vertical="top"/>
    </xf>
    <xf numFmtId="173" fontId="0" fillId="0" borderId="42" xfId="0" applyNumberFormat="1" applyBorder="1"/>
    <xf numFmtId="171" fontId="0" fillId="0" borderId="40" xfId="0" applyNumberFormat="1" applyBorder="1"/>
    <xf numFmtId="165" fontId="0" fillId="0" borderId="0" xfId="0" applyNumberFormat="1"/>
    <xf numFmtId="171" fontId="0" fillId="0" borderId="8" xfId="0" applyNumberFormat="1" applyBorder="1"/>
    <xf numFmtId="171" fontId="42" fillId="0" borderId="0" xfId="1" applyNumberFormat="1" applyFont="1" applyFill="1" applyAlignment="1">
      <alignment vertical="top"/>
    </xf>
    <xf numFmtId="165" fontId="80" fillId="0" borderId="0" xfId="0" applyNumberFormat="1" applyFont="1" applyAlignment="1">
      <alignment vertical="top"/>
    </xf>
    <xf numFmtId="171" fontId="0" fillId="0" borderId="10" xfId="0" applyNumberFormat="1" applyBorder="1"/>
    <xf numFmtId="165" fontId="80" fillId="13" borderId="2" xfId="0" applyNumberFormat="1" applyFont="1" applyFill="1" applyBorder="1" applyAlignment="1">
      <alignment vertical="top"/>
    </xf>
    <xf numFmtId="10" fontId="80" fillId="0" borderId="0" xfId="0" applyNumberFormat="1" applyFont="1" applyAlignment="1">
      <alignment vertical="top"/>
    </xf>
    <xf numFmtId="1" fontId="22" fillId="0" borderId="0" xfId="0" applyNumberFormat="1" applyFont="1"/>
    <xf numFmtId="1" fontId="80" fillId="0" borderId="0" xfId="1" applyNumberFormat="1" applyFont="1" applyFill="1" applyAlignment="1">
      <alignment horizontal="left" vertical="top"/>
    </xf>
    <xf numFmtId="0" fontId="61" fillId="0" borderId="0" xfId="4" applyFont="1" applyAlignment="1">
      <alignment vertical="top"/>
    </xf>
    <xf numFmtId="0" fontId="61" fillId="0" borderId="0" xfId="4" applyFont="1"/>
    <xf numFmtId="0" fontId="67" fillId="0" borderId="0" xfId="5" applyFont="1" applyBorder="1" applyAlignment="1">
      <alignment horizontal="right" vertical="top" wrapText="1"/>
    </xf>
    <xf numFmtId="0" fontId="77" fillId="0" borderId="0" xfId="4" applyFont="1" applyAlignment="1">
      <alignment vertical="top"/>
    </xf>
    <xf numFmtId="0" fontId="67" fillId="27" borderId="48" xfId="4" applyFont="1" applyFill="1" applyBorder="1" applyAlignment="1">
      <alignment vertical="top"/>
    </xf>
    <xf numFmtId="0" fontId="61" fillId="27" borderId="49" xfId="4" applyFont="1" applyFill="1" applyBorder="1" applyAlignment="1">
      <alignment vertical="top"/>
    </xf>
    <xf numFmtId="0" fontId="67" fillId="27" borderId="49" xfId="4" applyFont="1" applyFill="1" applyBorder="1" applyAlignment="1">
      <alignment vertical="top"/>
    </xf>
    <xf numFmtId="0" fontId="67" fillId="27" borderId="50" xfId="4" applyFont="1" applyFill="1" applyBorder="1" applyAlignment="1">
      <alignment vertical="top"/>
    </xf>
    <xf numFmtId="0" fontId="67" fillId="27" borderId="51" xfId="4" applyFont="1" applyFill="1" applyBorder="1" applyAlignment="1">
      <alignment vertical="top"/>
    </xf>
    <xf numFmtId="0" fontId="67" fillId="27" borderId="0" xfId="4" applyFont="1" applyFill="1" applyAlignment="1">
      <alignment vertical="top"/>
    </xf>
    <xf numFmtId="0" fontId="67" fillId="27" borderId="52" xfId="4" applyFont="1" applyFill="1" applyBorder="1" applyAlignment="1">
      <alignment vertical="top"/>
    </xf>
    <xf numFmtId="168" fontId="61" fillId="27" borderId="51" xfId="7" applyNumberFormat="1" applyFont="1" applyFill="1" applyBorder="1" applyAlignment="1">
      <alignment vertical="top"/>
    </xf>
    <xf numFmtId="0" fontId="68" fillId="13" borderId="35" xfId="0" applyFont="1" applyFill="1" applyBorder="1" applyAlignment="1">
      <alignment horizontal="center" vertical="center" wrapText="1"/>
    </xf>
    <xf numFmtId="0" fontId="68" fillId="13" borderId="42" xfId="0" applyFont="1" applyFill="1" applyBorder="1" applyAlignment="1">
      <alignment horizontal="center" vertical="center" wrapText="1"/>
    </xf>
    <xf numFmtId="0" fontId="68" fillId="13" borderId="53" xfId="0" applyFont="1" applyFill="1" applyBorder="1" applyAlignment="1">
      <alignment horizontal="center" vertical="center" wrapText="1"/>
    </xf>
    <xf numFmtId="0" fontId="68" fillId="13" borderId="43" xfId="0" applyFont="1" applyFill="1" applyBorder="1" applyAlignment="1">
      <alignment horizontal="center" vertical="center" wrapText="1"/>
    </xf>
    <xf numFmtId="0" fontId="61" fillId="27" borderId="0" xfId="4" applyFont="1" applyFill="1" applyAlignment="1">
      <alignment vertical="top"/>
    </xf>
    <xf numFmtId="0" fontId="61" fillId="27" borderId="52" xfId="4" applyFont="1" applyFill="1" applyBorder="1" applyAlignment="1">
      <alignment vertical="top"/>
    </xf>
    <xf numFmtId="169" fontId="61" fillId="0" borderId="23" xfId="6" applyNumberFormat="1" applyFont="1" applyFill="1" applyBorder="1">
      <alignment horizontal="left" vertical="top" wrapText="1"/>
    </xf>
    <xf numFmtId="168" fontId="90" fillId="0" borderId="54" xfId="7" applyNumberFormat="1" applyFont="1" applyFill="1" applyBorder="1" applyAlignment="1">
      <alignment vertical="top"/>
    </xf>
    <xf numFmtId="0" fontId="61" fillId="0" borderId="23" xfId="6" applyFont="1" applyFill="1" applyBorder="1">
      <alignment horizontal="left" vertical="top" wrapText="1"/>
    </xf>
    <xf numFmtId="168" fontId="90" fillId="0" borderId="45" xfId="7" applyNumberFormat="1" applyFont="1" applyFill="1" applyBorder="1" applyAlignment="1">
      <alignment horizontal="right" vertical="top"/>
    </xf>
    <xf numFmtId="168" fontId="90" fillId="0" borderId="55" xfId="7" applyNumberFormat="1" applyFont="1" applyFill="1" applyBorder="1" applyAlignment="1">
      <alignment horizontal="right" vertical="top"/>
    </xf>
    <xf numFmtId="169" fontId="61" fillId="0" borderId="24" xfId="6" applyNumberFormat="1" applyFont="1" applyFill="1" applyBorder="1">
      <alignment horizontal="left" vertical="top" wrapText="1"/>
    </xf>
    <xf numFmtId="168" fontId="90" fillId="0" borderId="0" xfId="7" applyNumberFormat="1" applyFont="1" applyFill="1" applyBorder="1" applyAlignment="1">
      <alignment vertical="top"/>
    </xf>
    <xf numFmtId="0" fontId="61" fillId="0" borderId="24" xfId="6" applyFont="1" applyFill="1" applyBorder="1" applyAlignment="1">
      <alignment horizontal="left" vertical="top"/>
    </xf>
    <xf numFmtId="168" fontId="90" fillId="0" borderId="56" xfId="7" applyNumberFormat="1" applyFont="1" applyFill="1" applyBorder="1" applyAlignment="1">
      <alignment horizontal="right" vertical="top"/>
    </xf>
    <xf numFmtId="168" fontId="90" fillId="0" borderId="17" xfId="7" applyNumberFormat="1" applyFont="1" applyFill="1" applyBorder="1" applyAlignment="1">
      <alignment horizontal="right" vertical="top"/>
    </xf>
    <xf numFmtId="168" fontId="71" fillId="26" borderId="43" xfId="7" applyNumberFormat="1" applyFont="1" applyFill="1" applyBorder="1" applyAlignment="1">
      <alignment horizontal="right" vertical="top"/>
    </xf>
    <xf numFmtId="168" fontId="61" fillId="27" borderId="57" xfId="7" applyNumberFormat="1" applyFont="1" applyFill="1" applyBorder="1" applyAlignment="1">
      <alignment vertical="top"/>
    </xf>
    <xf numFmtId="171" fontId="61" fillId="27" borderId="58" xfId="4" applyNumberFormat="1" applyFont="1" applyFill="1" applyBorder="1" applyAlignment="1">
      <alignment vertical="top"/>
    </xf>
    <xf numFmtId="0" fontId="61" fillId="27" borderId="58" xfId="4" applyFont="1" applyFill="1" applyBorder="1" applyAlignment="1">
      <alignment vertical="top"/>
    </xf>
    <xf numFmtId="0" fontId="61" fillId="27" borderId="59" xfId="4" applyFont="1" applyFill="1" applyBorder="1" applyAlignment="1">
      <alignment vertical="top"/>
    </xf>
    <xf numFmtId="0" fontId="91" fillId="0" borderId="0" xfId="0" applyFont="1"/>
    <xf numFmtId="49" fontId="61" fillId="0" borderId="0" xfId="8" applyNumberFormat="1" applyFont="1" applyFill="1" applyBorder="1" applyAlignment="1">
      <alignment horizontal="left" vertical="top"/>
    </xf>
    <xf numFmtId="10" fontId="90" fillId="0" borderId="55" xfId="7" applyNumberFormat="1" applyFont="1" applyFill="1" applyBorder="1" applyAlignment="1">
      <alignment horizontal="right" vertical="top" wrapText="1"/>
    </xf>
    <xf numFmtId="168" fontId="90" fillId="0" borderId="43" xfId="7" applyNumberFormat="1" applyFont="1" applyFill="1" applyBorder="1" applyAlignment="1">
      <alignment horizontal="right" vertical="top"/>
    </xf>
    <xf numFmtId="169" fontId="61" fillId="0" borderId="0" xfId="10" applyFont="1">
      <alignment horizontal="left" vertical="top"/>
    </xf>
    <xf numFmtId="175" fontId="90" fillId="0" borderId="0" xfId="11" applyFont="1" applyFill="1">
      <alignment horizontal="right" vertical="top"/>
    </xf>
    <xf numFmtId="169" fontId="61" fillId="0" borderId="0" xfId="6" applyNumberFormat="1" applyFont="1" applyFill="1" applyBorder="1">
      <alignment horizontal="left" vertical="top" wrapText="1"/>
    </xf>
    <xf numFmtId="175" fontId="90" fillId="0" borderId="0" xfId="11" applyFont="1" applyFill="1" applyBorder="1">
      <alignment horizontal="right" vertical="top"/>
    </xf>
    <xf numFmtId="169" fontId="61" fillId="0" borderId="0" xfId="6" applyNumberFormat="1" applyFont="1" applyFill="1">
      <alignment horizontal="left" vertical="top" wrapText="1"/>
    </xf>
    <xf numFmtId="0" fontId="68" fillId="13" borderId="67" xfId="0" applyFont="1" applyFill="1" applyBorder="1" applyAlignment="1">
      <alignment horizontal="center" vertical="center" wrapText="1"/>
    </xf>
    <xf numFmtId="0" fontId="93" fillId="28" borderId="61" xfId="4" applyFont="1" applyFill="1" applyBorder="1" applyAlignment="1">
      <alignment vertical="top"/>
    </xf>
    <xf numFmtId="0" fontId="93" fillId="28" borderId="54" xfId="4" applyFont="1" applyFill="1" applyBorder="1" applyAlignment="1">
      <alignment vertical="top"/>
    </xf>
    <xf numFmtId="0" fontId="93" fillId="28" borderId="55" xfId="4" applyFont="1" applyFill="1" applyBorder="1" applyAlignment="1">
      <alignment vertical="top"/>
    </xf>
    <xf numFmtId="171" fontId="90" fillId="0" borderId="69" xfId="4" applyNumberFormat="1" applyFont="1" applyBorder="1" applyAlignment="1">
      <alignment vertical="top"/>
    </xf>
    <xf numFmtId="168" fontId="90" fillId="0" borderId="69" xfId="7" applyNumberFormat="1" applyFont="1" applyFill="1" applyBorder="1" applyAlignment="1">
      <alignment vertical="top"/>
    </xf>
    <xf numFmtId="168" fontId="90" fillId="0" borderId="69" xfId="4" applyNumberFormat="1" applyFont="1" applyBorder="1" applyAlignment="1">
      <alignment vertical="top"/>
    </xf>
    <xf numFmtId="171" fontId="71" fillId="0" borderId="67" xfId="4" applyNumberFormat="1" applyFont="1" applyBorder="1" applyAlignment="1">
      <alignment vertical="top"/>
    </xf>
    <xf numFmtId="0" fontId="67" fillId="0" borderId="0" xfId="4" applyFont="1" applyAlignment="1">
      <alignment vertical="top"/>
    </xf>
    <xf numFmtId="43" fontId="67" fillId="0" borderId="0" xfId="9" applyFont="1" applyFill="1" applyBorder="1" applyAlignment="1">
      <alignment vertical="top"/>
    </xf>
    <xf numFmtId="0" fontId="94" fillId="23" borderId="43" xfId="0" applyFont="1" applyFill="1" applyBorder="1" applyAlignment="1">
      <alignment horizontal="center" vertical="center" wrapText="1"/>
    </xf>
    <xf numFmtId="171" fontId="71" fillId="0" borderId="32" xfId="4" applyNumberFormat="1" applyFont="1" applyBorder="1" applyAlignment="1">
      <alignment vertical="top"/>
    </xf>
    <xf numFmtId="168" fontId="61" fillId="0" borderId="0" xfId="7" applyNumberFormat="1" applyFont="1" applyFill="1" applyAlignment="1">
      <alignment vertical="top"/>
    </xf>
    <xf numFmtId="43" fontId="71" fillId="0" borderId="32" xfId="9" applyFont="1" applyFill="1" applyBorder="1" applyAlignment="1">
      <alignment vertical="top"/>
    </xf>
    <xf numFmtId="171" fontId="71" fillId="0" borderId="26" xfId="4" applyNumberFormat="1" applyFont="1" applyBorder="1" applyAlignment="1">
      <alignment vertical="top"/>
    </xf>
    <xf numFmtId="171" fontId="61" fillId="0" borderId="0" xfId="4" applyNumberFormat="1" applyFont="1" applyAlignment="1">
      <alignment vertical="top"/>
    </xf>
    <xf numFmtId="43" fontId="71" fillId="0" borderId="26" xfId="9" applyFont="1" applyFill="1" applyBorder="1" applyAlignment="1">
      <alignment vertical="top"/>
    </xf>
    <xf numFmtId="43" fontId="71" fillId="0" borderId="0" xfId="9" applyFont="1" applyFill="1" applyBorder="1" applyAlignment="1">
      <alignment horizontal="center" vertical="top"/>
    </xf>
    <xf numFmtId="43" fontId="71" fillId="0" borderId="0" xfId="9" applyFont="1" applyFill="1" applyBorder="1" applyAlignment="1">
      <alignment vertical="top"/>
    </xf>
    <xf numFmtId="0" fontId="62" fillId="0" borderId="0" xfId="4" applyFont="1" applyAlignment="1">
      <alignment vertical="top"/>
    </xf>
    <xf numFmtId="0" fontId="68" fillId="28" borderId="25" xfId="0" applyFont="1" applyFill="1" applyBorder="1" applyAlignment="1">
      <alignment horizontal="center" vertical="center" wrapText="1"/>
    </xf>
    <xf numFmtId="0" fontId="68" fillId="28" borderId="72" xfId="0" applyFont="1" applyFill="1" applyBorder="1" applyAlignment="1">
      <alignment horizontal="center" vertical="center" wrapText="1"/>
    </xf>
    <xf numFmtId="0" fontId="68" fillId="28" borderId="26" xfId="0" applyFont="1" applyFill="1" applyBorder="1" applyAlignment="1">
      <alignment horizontal="center" vertical="center" wrapText="1"/>
    </xf>
    <xf numFmtId="0" fontId="61" fillId="0" borderId="40" xfId="4" applyFont="1" applyBorder="1" applyAlignment="1">
      <alignment vertical="top"/>
    </xf>
    <xf numFmtId="0" fontId="61" fillId="0" borderId="73" xfId="4" applyFont="1" applyBorder="1" applyAlignment="1">
      <alignment vertical="top"/>
    </xf>
    <xf numFmtId="0" fontId="61" fillId="0" borderId="74" xfId="4" applyFont="1" applyBorder="1" applyAlignment="1">
      <alignment vertical="top"/>
    </xf>
    <xf numFmtId="0" fontId="61" fillId="0" borderId="15" xfId="4" applyFont="1" applyBorder="1" applyAlignment="1">
      <alignment vertical="top"/>
    </xf>
    <xf numFmtId="0" fontId="67" fillId="0" borderId="8" xfId="4" applyFont="1" applyBorder="1"/>
    <xf numFmtId="0" fontId="61" fillId="0" borderId="8" xfId="4" applyFont="1" applyBorder="1"/>
    <xf numFmtId="0" fontId="61" fillId="0" borderId="24" xfId="4" applyFont="1" applyBorder="1"/>
    <xf numFmtId="0" fontId="61" fillId="0" borderId="69" xfId="4" applyFont="1" applyBorder="1"/>
    <xf numFmtId="0" fontId="61" fillId="0" borderId="17" xfId="4" applyFont="1" applyBorder="1"/>
    <xf numFmtId="176" fontId="62" fillId="0" borderId="8" xfId="4" applyNumberFormat="1" applyFont="1" applyBorder="1" applyAlignment="1">
      <alignment horizontal="left" vertical="top"/>
    </xf>
    <xf numFmtId="165" fontId="62" fillId="0" borderId="8" xfId="4" applyNumberFormat="1" applyFont="1" applyBorder="1" applyAlignment="1">
      <alignment horizontal="right" vertical="top"/>
    </xf>
    <xf numFmtId="0" fontId="61" fillId="0" borderId="24" xfId="4" applyFont="1" applyBorder="1" applyAlignment="1">
      <alignment horizontal="right"/>
    </xf>
    <xf numFmtId="0" fontId="61" fillId="0" borderId="69" xfId="4" applyFont="1" applyBorder="1" applyAlignment="1">
      <alignment horizontal="right"/>
    </xf>
    <xf numFmtId="165" fontId="62" fillId="0" borderId="69" xfId="4" applyNumberFormat="1" applyFont="1" applyBorder="1" applyAlignment="1">
      <alignment horizontal="right" vertical="top"/>
    </xf>
    <xf numFmtId="9" fontId="62" fillId="0" borderId="17" xfId="4" applyNumberFormat="1" applyFont="1" applyBorder="1" applyAlignment="1">
      <alignment horizontal="right" vertical="top"/>
    </xf>
    <xf numFmtId="0" fontId="61" fillId="0" borderId="8" xfId="4" applyFont="1" applyBorder="1" applyAlignment="1">
      <alignment horizontal="right"/>
    </xf>
    <xf numFmtId="0" fontId="61" fillId="0" borderId="17" xfId="4" applyFont="1" applyBorder="1" applyAlignment="1">
      <alignment horizontal="right"/>
    </xf>
    <xf numFmtId="0" fontId="68" fillId="0" borderId="8" xfId="4" applyFont="1" applyBorder="1" applyAlignment="1">
      <alignment vertical="top"/>
    </xf>
    <xf numFmtId="2" fontId="62" fillId="0" borderId="24" xfId="4" applyNumberFormat="1" applyFont="1" applyBorder="1" applyAlignment="1">
      <alignment horizontal="right" vertical="top"/>
    </xf>
    <xf numFmtId="3" fontId="62" fillId="0" borderId="69" xfId="4" applyNumberFormat="1" applyFont="1" applyBorder="1" applyAlignment="1">
      <alignment horizontal="right" vertical="top"/>
    </xf>
    <xf numFmtId="17" fontId="62" fillId="0" borderId="8" xfId="4" applyNumberFormat="1" applyFont="1" applyBorder="1" applyAlignment="1">
      <alignment horizontal="left" vertical="top"/>
    </xf>
    <xf numFmtId="0" fontId="62" fillId="0" borderId="8" xfId="4" applyFont="1" applyBorder="1" applyAlignment="1">
      <alignment horizontal="right" vertical="top"/>
    </xf>
    <xf numFmtId="172" fontId="62" fillId="0" borderId="24" xfId="4" applyNumberFormat="1" applyFont="1" applyBorder="1" applyAlignment="1">
      <alignment horizontal="right" vertical="top"/>
    </xf>
    <xf numFmtId="0" fontId="62" fillId="0" borderId="17" xfId="4" applyFont="1" applyBorder="1" applyAlignment="1">
      <alignment horizontal="right" vertical="top"/>
    </xf>
    <xf numFmtId="0" fontId="68" fillId="0" borderId="8" xfId="4" applyFont="1" applyBorder="1"/>
    <xf numFmtId="0" fontId="62" fillId="0" borderId="8" xfId="4" applyFont="1" applyBorder="1" applyAlignment="1">
      <alignment vertical="top"/>
    </xf>
    <xf numFmtId="1" fontId="62" fillId="0" borderId="69" xfId="4" applyNumberFormat="1" applyFont="1" applyBorder="1" applyAlignment="1">
      <alignment horizontal="right" vertical="top"/>
    </xf>
    <xf numFmtId="0" fontId="68" fillId="0" borderId="8" xfId="4" applyFont="1" applyBorder="1" applyAlignment="1">
      <alignment wrapText="1"/>
    </xf>
    <xf numFmtId="37" fontId="62" fillId="0" borderId="8" xfId="4" applyNumberFormat="1" applyFont="1" applyBorder="1" applyAlignment="1">
      <alignment horizontal="right" vertical="top"/>
    </xf>
    <xf numFmtId="167" fontId="62" fillId="0" borderId="8" xfId="4" applyNumberFormat="1" applyFont="1" applyBorder="1" applyAlignment="1">
      <alignment horizontal="right" vertical="top"/>
    </xf>
    <xf numFmtId="9" fontId="62" fillId="0" borderId="0" xfId="4" applyNumberFormat="1" applyFont="1" applyAlignment="1">
      <alignment vertical="top"/>
    </xf>
    <xf numFmtId="43" fontId="61" fillId="0" borderId="78" xfId="9" applyFont="1" applyFill="1" applyBorder="1" applyAlignment="1">
      <alignment vertical="top"/>
    </xf>
    <xf numFmtId="2" fontId="61" fillId="0" borderId="79" xfId="4" applyNumberFormat="1" applyFont="1" applyBorder="1" applyAlignment="1">
      <alignment vertical="top"/>
    </xf>
    <xf numFmtId="168" fontId="90" fillId="0" borderId="79" xfId="7" applyNumberFormat="1" applyFont="1" applyFill="1" applyBorder="1" applyAlignment="1">
      <alignment vertical="top"/>
    </xf>
    <xf numFmtId="2" fontId="90" fillId="0" borderId="79" xfId="4" applyNumberFormat="1" applyFont="1" applyBorder="1" applyAlignment="1">
      <alignment vertical="top"/>
    </xf>
    <xf numFmtId="9" fontId="90" fillId="0" borderId="79" xfId="7" applyFont="1" applyFill="1" applyBorder="1" applyAlignment="1">
      <alignment vertical="top"/>
    </xf>
    <xf numFmtId="43" fontId="90" fillId="0" borderId="80" xfId="9" applyFont="1" applyFill="1" applyBorder="1" applyAlignment="1">
      <alignment vertical="top"/>
    </xf>
    <xf numFmtId="2" fontId="80" fillId="0" borderId="0" xfId="1" applyNumberFormat="1" applyFont="1" applyFill="1" applyAlignment="1">
      <alignment vertical="top"/>
    </xf>
    <xf numFmtId="3" fontId="61" fillId="0" borderId="69" xfId="4" applyNumberFormat="1" applyFont="1" applyBorder="1" applyAlignment="1">
      <alignment horizontal="right"/>
    </xf>
    <xf numFmtId="3" fontId="62" fillId="0" borderId="69" xfId="0" applyNumberFormat="1" applyFont="1" applyBorder="1" applyAlignment="1">
      <alignment horizontal="right"/>
    </xf>
    <xf numFmtId="3" fontId="62" fillId="0" borderId="69" xfId="4" applyNumberFormat="1" applyFont="1" applyBorder="1" applyAlignment="1">
      <alignment horizontal="right"/>
    </xf>
    <xf numFmtId="0" fontId="68" fillId="0" borderId="0" xfId="4" applyFont="1" applyAlignment="1">
      <alignment wrapText="1"/>
    </xf>
    <xf numFmtId="0" fontId="62" fillId="0" borderId="0" xfId="4" applyFont="1" applyAlignment="1">
      <alignment horizontal="right" vertical="top"/>
    </xf>
    <xf numFmtId="172" fontId="62" fillId="0" borderId="0" xfId="4" applyNumberFormat="1" applyFont="1" applyAlignment="1">
      <alignment horizontal="right" vertical="top"/>
    </xf>
    <xf numFmtId="3" fontId="62" fillId="0" borderId="0" xfId="4" applyNumberFormat="1" applyFont="1" applyAlignment="1">
      <alignment horizontal="right" vertical="top"/>
    </xf>
    <xf numFmtId="165" fontId="62" fillId="0" borderId="0" xfId="4" applyNumberFormat="1" applyFont="1" applyAlignment="1">
      <alignment horizontal="right" vertical="top"/>
    </xf>
    <xf numFmtId="176" fontId="62" fillId="0" borderId="0" xfId="4" applyNumberFormat="1" applyFont="1" applyAlignment="1">
      <alignment horizontal="left" vertical="top"/>
    </xf>
    <xf numFmtId="2" fontId="62" fillId="0" borderId="0" xfId="4" applyNumberFormat="1" applyFont="1" applyAlignment="1">
      <alignment horizontal="right" vertical="top"/>
    </xf>
    <xf numFmtId="9" fontId="62" fillId="0" borderId="0" xfId="4" applyNumberFormat="1" applyFont="1" applyAlignment="1">
      <alignment horizontal="right" vertical="top"/>
    </xf>
    <xf numFmtId="3" fontId="62" fillId="0" borderId="24" xfId="4" applyNumberFormat="1" applyFont="1" applyBorder="1" applyAlignment="1">
      <alignment horizontal="right" vertical="top"/>
    </xf>
    <xf numFmtId="0" fontId="68" fillId="0" borderId="82" xfId="4" applyFont="1" applyBorder="1" applyAlignment="1">
      <alignment wrapText="1"/>
    </xf>
    <xf numFmtId="0" fontId="62" fillId="0" borderId="82" xfId="4" applyFont="1" applyBorder="1" applyAlignment="1">
      <alignment horizontal="right" vertical="top"/>
    </xf>
    <xf numFmtId="0" fontId="62" fillId="0" borderId="36" xfId="4" applyFont="1" applyBorder="1" applyAlignment="1">
      <alignment horizontal="right" vertical="top"/>
    </xf>
    <xf numFmtId="3" fontId="62" fillId="0" borderId="83" xfId="4" applyNumberFormat="1" applyFont="1" applyBorder="1" applyAlignment="1">
      <alignment horizontal="right" vertical="top"/>
    </xf>
    <xf numFmtId="165" fontId="62" fillId="0" borderId="83" xfId="4" applyNumberFormat="1" applyFont="1" applyBorder="1" applyAlignment="1">
      <alignment horizontal="right" vertical="top"/>
    </xf>
    <xf numFmtId="0" fontId="62" fillId="0" borderId="32" xfId="4" applyFont="1" applyBorder="1" applyAlignment="1">
      <alignment horizontal="right" vertical="top"/>
    </xf>
    <xf numFmtId="0" fontId="80" fillId="0" borderId="0" xfId="4" applyFont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62" fillId="0" borderId="84" xfId="0" applyFont="1" applyBorder="1" applyAlignment="1">
      <alignment horizontal="right" vertical="top"/>
    </xf>
    <xf numFmtId="0" fontId="62" fillId="0" borderId="84" xfId="0" applyFont="1" applyBorder="1" applyAlignment="1">
      <alignment horizontal="center" vertical="top"/>
    </xf>
    <xf numFmtId="0" fontId="7" fillId="29" borderId="13" xfId="0" applyFont="1" applyFill="1" applyBorder="1" applyAlignment="1">
      <alignment horizontal="right" vertical="top"/>
    </xf>
    <xf numFmtId="0" fontId="7" fillId="29" borderId="14" xfId="0" applyFont="1" applyFill="1" applyBorder="1" applyAlignment="1">
      <alignment horizontal="right" vertical="top"/>
    </xf>
    <xf numFmtId="0" fontId="0" fillId="0" borderId="0" xfId="0" applyAlignment="1">
      <alignment horizontal="right" vertical="top" wrapText="1"/>
    </xf>
    <xf numFmtId="0" fontId="7" fillId="29" borderId="46" xfId="0" applyFont="1" applyFill="1" applyBorder="1" applyAlignment="1">
      <alignment horizontal="left" vertical="top" wrapText="1"/>
    </xf>
    <xf numFmtId="0" fontId="7" fillId="29" borderId="18" xfId="0" applyFont="1" applyFill="1" applyBorder="1" applyAlignment="1">
      <alignment horizontal="left" vertical="top" wrapText="1"/>
    </xf>
    <xf numFmtId="0" fontId="7" fillId="29" borderId="18" xfId="0" applyFont="1" applyFill="1" applyBorder="1" applyAlignment="1">
      <alignment horizontal="center" vertical="top" wrapText="1"/>
    </xf>
    <xf numFmtId="0" fontId="7" fillId="29" borderId="26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 wrapText="1"/>
    </xf>
    <xf numFmtId="0" fontId="7" fillId="0" borderId="0" xfId="0" applyFont="1" applyAlignment="1">
      <alignment horizontal="center" vertical="top" wrapText="1"/>
    </xf>
    <xf numFmtId="0" fontId="96" fillId="13" borderId="41" xfId="0" applyFont="1" applyFill="1" applyBorder="1" applyAlignment="1">
      <alignment horizontal="left" vertical="top"/>
    </xf>
    <xf numFmtId="0" fontId="96" fillId="13" borderId="42" xfId="0" applyFont="1" applyFill="1" applyBorder="1" applyAlignment="1">
      <alignment horizontal="center" vertical="top"/>
    </xf>
    <xf numFmtId="167" fontId="96" fillId="13" borderId="42" xfId="1" applyNumberFormat="1" applyFont="1" applyFill="1" applyBorder="1" applyAlignment="1">
      <alignment horizontal="right" vertical="top" wrapText="1"/>
    </xf>
    <xf numFmtId="167" fontId="96" fillId="13" borderId="42" xfId="1" applyNumberFormat="1" applyFont="1" applyFill="1" applyBorder="1" applyAlignment="1">
      <alignment horizontal="left" vertical="top" wrapText="1"/>
    </xf>
    <xf numFmtId="167" fontId="96" fillId="13" borderId="42" xfId="1" applyNumberFormat="1" applyFont="1" applyFill="1" applyBorder="1" applyAlignment="1">
      <alignment horizontal="center" vertical="top" wrapText="1"/>
    </xf>
    <xf numFmtId="167" fontId="96" fillId="30" borderId="42" xfId="1" applyNumberFormat="1" applyFont="1" applyFill="1" applyBorder="1" applyAlignment="1">
      <alignment horizontal="right" vertical="top"/>
    </xf>
    <xf numFmtId="167" fontId="96" fillId="13" borderId="42" xfId="1" applyNumberFormat="1" applyFont="1" applyFill="1" applyBorder="1" applyAlignment="1">
      <alignment horizontal="right" vertical="top"/>
    </xf>
    <xf numFmtId="177" fontId="96" fillId="30" borderId="42" xfId="1" applyNumberFormat="1" applyFont="1" applyFill="1" applyBorder="1" applyAlignment="1">
      <alignment horizontal="right" vertical="top"/>
    </xf>
    <xf numFmtId="167" fontId="3" fillId="0" borderId="0" xfId="1" applyNumberFormat="1" applyFont="1" applyFill="1" applyBorder="1" applyAlignment="1">
      <alignment horizontal="center" vertical="top"/>
    </xf>
    <xf numFmtId="167" fontId="3" fillId="0" borderId="0" xfId="1" applyNumberFormat="1" applyFont="1" applyAlignment="1">
      <alignment horizontal="right" vertical="top"/>
    </xf>
    <xf numFmtId="167" fontId="3" fillId="0" borderId="0" xfId="1" applyNumberFormat="1" applyFont="1" applyAlignment="1">
      <alignment horizontal="center" vertical="top"/>
    </xf>
    <xf numFmtId="178" fontId="22" fillId="0" borderId="0" xfId="0" applyNumberFormat="1" applyFont="1" applyAlignment="1">
      <alignment horizontal="right" vertical="top"/>
    </xf>
    <xf numFmtId="0" fontId="22" fillId="30" borderId="0" xfId="0" applyFont="1" applyFill="1" applyAlignment="1">
      <alignment horizontal="left" vertical="top"/>
    </xf>
    <xf numFmtId="0" fontId="22" fillId="30" borderId="0" xfId="0" applyFont="1" applyFill="1" applyAlignment="1">
      <alignment horizontal="right" vertical="top"/>
    </xf>
    <xf numFmtId="178" fontId="22" fillId="30" borderId="0" xfId="0" applyNumberFormat="1" applyFont="1" applyFill="1" applyAlignment="1">
      <alignment horizontal="right" vertical="top"/>
    </xf>
    <xf numFmtId="178" fontId="22" fillId="30" borderId="0" xfId="0" applyNumberFormat="1" applyFont="1" applyFill="1" applyAlignment="1">
      <alignment horizontal="center" vertical="top"/>
    </xf>
    <xf numFmtId="179" fontId="22" fillId="30" borderId="0" xfId="0" applyNumberFormat="1" applyFont="1" applyFill="1" applyAlignment="1">
      <alignment horizontal="right" vertical="top"/>
    </xf>
    <xf numFmtId="0" fontId="33" fillId="30" borderId="0" xfId="0" applyFont="1" applyFill="1" applyAlignment="1">
      <alignment horizontal="left" vertical="top"/>
    </xf>
    <xf numFmtId="0" fontId="33" fillId="30" borderId="0" xfId="0" applyFont="1" applyFill="1" applyAlignment="1">
      <alignment horizontal="right" vertical="top"/>
    </xf>
    <xf numFmtId="178" fontId="33" fillId="30" borderId="0" xfId="0" applyNumberFormat="1" applyFont="1" applyFill="1" applyAlignment="1">
      <alignment horizontal="right" vertical="top"/>
    </xf>
    <xf numFmtId="178" fontId="33" fillId="30" borderId="0" xfId="0" applyNumberFormat="1" applyFont="1" applyFill="1" applyAlignment="1">
      <alignment horizontal="center" vertical="top"/>
    </xf>
    <xf numFmtId="179" fontId="33" fillId="30" borderId="0" xfId="0" applyNumberFormat="1" applyFont="1" applyFill="1" applyAlignment="1">
      <alignment horizontal="right" vertical="top"/>
    </xf>
    <xf numFmtId="0" fontId="7" fillId="29" borderId="42" xfId="0" applyFont="1" applyFill="1" applyBorder="1" applyAlignment="1">
      <alignment horizontal="center" vertical="top"/>
    </xf>
    <xf numFmtId="0" fontId="7" fillId="29" borderId="43" xfId="0" applyFont="1" applyFill="1" applyBorder="1" applyAlignment="1">
      <alignment horizontal="center" vertical="top"/>
    </xf>
    <xf numFmtId="167" fontId="22" fillId="0" borderId="0" xfId="1" applyNumberFormat="1" applyFont="1" applyAlignment="1">
      <alignment horizontal="right" vertical="top"/>
    </xf>
    <xf numFmtId="179" fontId="33" fillId="31" borderId="42" xfId="0" applyNumberFormat="1" applyFont="1" applyFill="1" applyBorder="1" applyAlignment="1">
      <alignment horizontal="right" vertical="top"/>
    </xf>
    <xf numFmtId="179" fontId="33" fillId="31" borderId="43" xfId="0" applyNumberFormat="1" applyFont="1" applyFill="1" applyBorder="1" applyAlignment="1">
      <alignment horizontal="right" vertical="top"/>
    </xf>
    <xf numFmtId="0" fontId="98" fillId="0" borderId="0" xfId="0" applyFont="1" applyAlignment="1">
      <alignment horizontal="center" vertical="center" wrapText="1"/>
    </xf>
    <xf numFmtId="0" fontId="81" fillId="18" borderId="35" xfId="0" applyFont="1" applyFill="1" applyBorder="1"/>
    <xf numFmtId="0" fontId="81" fillId="18" borderId="67" xfId="0" applyFont="1" applyFill="1" applyBorder="1"/>
    <xf numFmtId="0" fontId="81" fillId="18" borderId="53" xfId="0" applyFont="1" applyFill="1" applyBorder="1"/>
    <xf numFmtId="0" fontId="2" fillId="0" borderId="13" xfId="0" applyFont="1" applyBorder="1"/>
    <xf numFmtId="2" fontId="2" fillId="0" borderId="88" xfId="0" applyNumberFormat="1" applyFont="1" applyBorder="1"/>
    <xf numFmtId="2" fontId="2" fillId="0" borderId="88" xfId="1" applyNumberFormat="1" applyFont="1" applyBorder="1"/>
    <xf numFmtId="2" fontId="2" fillId="0" borderId="89" xfId="0" applyNumberFormat="1" applyFont="1" applyBorder="1"/>
    <xf numFmtId="0" fontId="2" fillId="0" borderId="16" xfId="0" applyFont="1" applyBorder="1"/>
    <xf numFmtId="2" fontId="2" fillId="0" borderId="90" xfId="0" applyNumberFormat="1" applyFont="1" applyBorder="1"/>
    <xf numFmtId="2" fontId="2" fillId="0" borderId="90" xfId="1" applyNumberFormat="1" applyFont="1" applyBorder="1"/>
    <xf numFmtId="2" fontId="2" fillId="0" borderId="91" xfId="0" applyNumberFormat="1" applyFont="1" applyBorder="1"/>
    <xf numFmtId="180" fontId="2" fillId="0" borderId="90" xfId="1" applyNumberFormat="1" applyFont="1" applyFill="1" applyBorder="1"/>
    <xf numFmtId="2" fontId="2" fillId="0" borderId="69" xfId="0" applyNumberFormat="1" applyFont="1" applyBorder="1"/>
    <xf numFmtId="180" fontId="2" fillId="0" borderId="0" xfId="1" applyNumberFormat="1" applyFont="1" applyFill="1" applyBorder="1"/>
    <xf numFmtId="0" fontId="2" fillId="0" borderId="46" xfId="0" applyFont="1" applyBorder="1"/>
    <xf numFmtId="2" fontId="2" fillId="0" borderId="72" xfId="0" applyNumberFormat="1" applyFont="1" applyBorder="1"/>
    <xf numFmtId="180" fontId="2" fillId="0" borderId="18" xfId="1" applyNumberFormat="1" applyFont="1" applyFill="1" applyBorder="1"/>
    <xf numFmtId="2" fontId="2" fillId="0" borderId="56" xfId="0" applyNumberFormat="1" applyFont="1" applyBorder="1"/>
    <xf numFmtId="0" fontId="15" fillId="0" borderId="0" xfId="0" applyFont="1"/>
    <xf numFmtId="0" fontId="15" fillId="0" borderId="18" xfId="0" applyFont="1" applyBorder="1"/>
    <xf numFmtId="0" fontId="99" fillId="0" borderId="0" xfId="0" applyFont="1"/>
    <xf numFmtId="0" fontId="100" fillId="0" borderId="0" xfId="0" applyFont="1"/>
    <xf numFmtId="0" fontId="102" fillId="18" borderId="95" xfId="0" applyFont="1" applyFill="1" applyBorder="1"/>
    <xf numFmtId="15" fontId="44" fillId="22" borderId="18" xfId="0" applyNumberFormat="1" applyFont="1" applyFill="1" applyBorder="1" applyAlignment="1">
      <alignment horizontal="center" vertical="top" wrapText="1"/>
    </xf>
    <xf numFmtId="15" fontId="44" fillId="22" borderId="26" xfId="0" applyNumberFormat="1" applyFont="1" applyFill="1" applyBorder="1" applyAlignment="1">
      <alignment horizontal="center" vertical="top" wrapText="1"/>
    </xf>
    <xf numFmtId="0" fontId="102" fillId="0" borderId="95" xfId="0" applyFont="1" applyBorder="1"/>
    <xf numFmtId="3" fontId="102" fillId="0" borderId="7" xfId="0" applyNumberFormat="1" applyFont="1" applyBorder="1" applyAlignment="1">
      <alignment horizontal="right"/>
    </xf>
    <xf numFmtId="3" fontId="102" fillId="0" borderId="96" xfId="0" applyNumberFormat="1" applyFont="1" applyBorder="1" applyAlignment="1">
      <alignment horizontal="right"/>
    </xf>
    <xf numFmtId="0" fontId="4" fillId="33" borderId="97" xfId="0" applyFont="1" applyFill="1" applyBorder="1"/>
    <xf numFmtId="9" fontId="4" fillId="33" borderId="98" xfId="2" applyFont="1" applyFill="1" applyBorder="1" applyAlignment="1">
      <alignment horizontal="right"/>
    </xf>
    <xf numFmtId="9" fontId="4" fillId="33" borderId="99" xfId="2" applyFont="1" applyFill="1" applyBorder="1" applyAlignment="1">
      <alignment horizontal="right"/>
    </xf>
    <xf numFmtId="0" fontId="80" fillId="0" borderId="0" xfId="0" applyFont="1"/>
    <xf numFmtId="0" fontId="103" fillId="0" borderId="0" xfId="0" applyFont="1"/>
    <xf numFmtId="0" fontId="4" fillId="33" borderId="100" xfId="0" applyFont="1" applyFill="1" applyBorder="1"/>
    <xf numFmtId="10" fontId="4" fillId="33" borderId="101" xfId="0" applyNumberFormat="1" applyFont="1" applyFill="1" applyBorder="1" applyAlignment="1">
      <alignment horizontal="right"/>
    </xf>
    <xf numFmtId="10" fontId="4" fillId="33" borderId="102" xfId="0" applyNumberFormat="1" applyFont="1" applyFill="1" applyBorder="1" applyAlignment="1">
      <alignment horizontal="right"/>
    </xf>
    <xf numFmtId="0" fontId="102" fillId="0" borderId="16" xfId="0" applyFont="1" applyBorder="1"/>
    <xf numFmtId="0" fontId="102" fillId="0" borderId="0" xfId="0" applyFont="1"/>
    <xf numFmtId="0" fontId="102" fillId="0" borderId="17" xfId="0" applyFont="1" applyBorder="1"/>
    <xf numFmtId="0" fontId="102" fillId="0" borderId="103" xfId="0" applyFont="1" applyBorder="1"/>
    <xf numFmtId="181" fontId="102" fillId="0" borderId="104" xfId="0" applyNumberFormat="1" applyFont="1" applyBorder="1" applyAlignment="1">
      <alignment horizontal="right"/>
    </xf>
    <xf numFmtId="181" fontId="102" fillId="0" borderId="105" xfId="0" applyNumberFormat="1" applyFont="1" applyBorder="1" applyAlignment="1">
      <alignment horizontal="right"/>
    </xf>
    <xf numFmtId="181" fontId="102" fillId="0" borderId="7" xfId="0" applyNumberFormat="1" applyFont="1" applyBorder="1" applyAlignment="1">
      <alignment horizontal="right"/>
    </xf>
    <xf numFmtId="181" fontId="102" fillId="0" borderId="96" xfId="0" applyNumberFormat="1" applyFont="1" applyBorder="1" applyAlignment="1">
      <alignment horizontal="right"/>
    </xf>
    <xf numFmtId="0" fontId="4" fillId="33" borderId="95" xfId="0" applyFont="1" applyFill="1" applyBorder="1"/>
    <xf numFmtId="182" fontId="4" fillId="33" borderId="101" xfId="0" applyNumberFormat="1" applyFont="1" applyFill="1" applyBorder="1" applyAlignment="1">
      <alignment horizontal="right"/>
    </xf>
    <xf numFmtId="182" fontId="4" fillId="33" borderId="96" xfId="0" applyNumberFormat="1" applyFont="1" applyFill="1" applyBorder="1" applyAlignment="1">
      <alignment horizontal="right"/>
    </xf>
    <xf numFmtId="0" fontId="102" fillId="0" borderId="106" xfId="0" applyFont="1" applyBorder="1"/>
    <xf numFmtId="0" fontId="102" fillId="0" borderId="107" xfId="0" applyFont="1" applyBorder="1"/>
    <xf numFmtId="183" fontId="4" fillId="33" borderId="101" xfId="0" applyNumberFormat="1" applyFont="1" applyFill="1" applyBorder="1" applyAlignment="1">
      <alignment horizontal="right"/>
    </xf>
    <xf numFmtId="183" fontId="4" fillId="33" borderId="96" xfId="0" applyNumberFormat="1" applyFont="1" applyFill="1" applyBorder="1" applyAlignment="1">
      <alignment horizontal="right"/>
    </xf>
    <xf numFmtId="10" fontId="4" fillId="33" borderId="108" xfId="0" applyNumberFormat="1" applyFont="1" applyFill="1" applyBorder="1" applyAlignment="1">
      <alignment horizontal="right"/>
    </xf>
    <xf numFmtId="10" fontId="4" fillId="33" borderId="99" xfId="0" applyNumberFormat="1" applyFont="1" applyFill="1" applyBorder="1" applyAlignment="1">
      <alignment horizontal="right"/>
    </xf>
    <xf numFmtId="10" fontId="4" fillId="33" borderId="98" xfId="0" applyNumberFormat="1" applyFont="1" applyFill="1" applyBorder="1" applyAlignment="1">
      <alignment horizontal="right"/>
    </xf>
    <xf numFmtId="10" fontId="4" fillId="33" borderId="7" xfId="0" applyNumberFormat="1" applyFont="1" applyFill="1" applyBorder="1" applyAlignment="1">
      <alignment horizontal="right"/>
    </xf>
    <xf numFmtId="10" fontId="4" fillId="33" borderId="96" xfId="0" applyNumberFormat="1" applyFont="1" applyFill="1" applyBorder="1" applyAlignment="1">
      <alignment horizontal="right"/>
    </xf>
    <xf numFmtId="0" fontId="102" fillId="0" borderId="7" xfId="0" applyFont="1" applyBorder="1"/>
    <xf numFmtId="0" fontId="102" fillId="0" borderId="96" xfId="0" applyFont="1" applyBorder="1"/>
    <xf numFmtId="182" fontId="4" fillId="33" borderId="7" xfId="0" applyNumberFormat="1" applyFont="1" applyFill="1" applyBorder="1" applyAlignment="1">
      <alignment horizontal="right"/>
    </xf>
    <xf numFmtId="0" fontId="22" fillId="0" borderId="95" xfId="0" applyFont="1" applyBorder="1"/>
    <xf numFmtId="0" fontId="22" fillId="0" borderId="7" xfId="0" applyFont="1" applyBorder="1"/>
    <xf numFmtId="0" fontId="22" fillId="0" borderId="96" xfId="0" applyFont="1" applyBorder="1"/>
    <xf numFmtId="0" fontId="33" fillId="33" borderId="97" xfId="0" applyFont="1" applyFill="1" applyBorder="1"/>
    <xf numFmtId="10" fontId="33" fillId="33" borderId="98" xfId="0" applyNumberFormat="1" applyFont="1" applyFill="1" applyBorder="1" applyAlignment="1">
      <alignment horizontal="right"/>
    </xf>
    <xf numFmtId="10" fontId="33" fillId="33" borderId="99" xfId="0" applyNumberFormat="1" applyFont="1" applyFill="1" applyBorder="1" applyAlignment="1">
      <alignment horizontal="right"/>
    </xf>
    <xf numFmtId="172" fontId="0" fillId="0" borderId="0" xfId="0" applyNumberFormat="1"/>
    <xf numFmtId="10" fontId="0" fillId="0" borderId="0" xfId="2" applyNumberFormat="1" applyFont="1"/>
    <xf numFmtId="0" fontId="2" fillId="18" borderId="0" xfId="0" applyFont="1" applyFill="1"/>
    <xf numFmtId="0" fontId="0" fillId="18" borderId="0" xfId="0" applyFill="1"/>
    <xf numFmtId="15" fontId="104" fillId="18" borderId="0" xfId="0" applyNumberFormat="1" applyFont="1" applyFill="1"/>
    <xf numFmtId="0" fontId="0" fillId="34" borderId="0" xfId="0" applyFill="1"/>
    <xf numFmtId="0" fontId="104" fillId="34" borderId="0" xfId="0" applyFont="1" applyFill="1"/>
    <xf numFmtId="165" fontId="25" fillId="0" borderId="11" xfId="0" applyNumberFormat="1" applyFont="1" applyBorder="1" applyAlignment="1">
      <alignment horizontal="center" vertical="top"/>
    </xf>
    <xf numFmtId="165" fontId="25" fillId="0" borderId="12" xfId="0" applyNumberFormat="1" applyFont="1" applyBorder="1" applyAlignment="1">
      <alignment horizontal="center" vertical="top"/>
    </xf>
    <xf numFmtId="169" fontId="25" fillId="0" borderId="4" xfId="0" applyNumberFormat="1" applyFont="1" applyBorder="1" applyAlignment="1">
      <alignment horizontal="center" vertical="top"/>
    </xf>
    <xf numFmtId="0" fontId="31" fillId="0" borderId="5" xfId="0" applyFont="1" applyBorder="1"/>
    <xf numFmtId="0" fontId="31" fillId="0" borderId="6" xfId="0" applyFont="1" applyBorder="1"/>
    <xf numFmtId="43" fontId="18" fillId="0" borderId="0" xfId="1" applyFont="1" applyAlignment="1">
      <alignment horizontal="center" vertical="center" wrapText="1"/>
    </xf>
    <xf numFmtId="0" fontId="17" fillId="0" borderId="0" xfId="0" applyFont="1" applyAlignment="1">
      <alignment horizontal="center" vertical="top" wrapText="1"/>
    </xf>
    <xf numFmtId="165" fontId="25" fillId="0" borderId="4" xfId="0" applyNumberFormat="1" applyFont="1" applyBorder="1" applyAlignment="1">
      <alignment horizontal="center" vertical="top"/>
    </xf>
    <xf numFmtId="0" fontId="30" fillId="0" borderId="5" xfId="0" applyFont="1" applyBorder="1"/>
    <xf numFmtId="0" fontId="30" fillId="0" borderId="6" xfId="0" applyFont="1" applyBorder="1"/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7" fillId="16" borderId="0" xfId="0" applyFont="1" applyFill="1" applyAlignment="1">
      <alignment horizontal="center" vertical="center"/>
    </xf>
    <xf numFmtId="169" fontId="16" fillId="0" borderId="0" xfId="0" applyNumberFormat="1" applyFont="1" applyAlignment="1">
      <alignment horizontal="center" vertical="top" wrapText="1"/>
    </xf>
    <xf numFmtId="0" fontId="40" fillId="0" borderId="0" xfId="0" applyFont="1" applyAlignment="1">
      <alignment horizontal="center" vertical="center"/>
    </xf>
    <xf numFmtId="169" fontId="50" fillId="16" borderId="0" xfId="0" applyNumberFormat="1" applyFont="1" applyFill="1" applyAlignment="1">
      <alignment horizontal="center" vertical="top" wrapText="1"/>
    </xf>
    <xf numFmtId="0" fontId="51" fillId="16" borderId="0" xfId="0" applyFont="1" applyFill="1"/>
    <xf numFmtId="0" fontId="52" fillId="16" borderId="0" xfId="0" applyFont="1" applyFill="1" applyAlignment="1">
      <alignment horizontal="center" wrapText="1"/>
    </xf>
    <xf numFmtId="2" fontId="70" fillId="0" borderId="2" xfId="0" applyNumberFormat="1" applyFont="1" applyBorder="1" applyAlignment="1">
      <alignment horizontal="center" vertical="top" wrapText="1"/>
    </xf>
    <xf numFmtId="2" fontId="70" fillId="0" borderId="0" xfId="0" applyNumberFormat="1" applyFont="1" applyAlignment="1">
      <alignment horizontal="center" vertical="top" wrapText="1"/>
    </xf>
    <xf numFmtId="0" fontId="58" fillId="23" borderId="16" xfId="0" applyFont="1" applyFill="1" applyBorder="1" applyAlignment="1">
      <alignment horizontal="center"/>
    </xf>
    <xf numFmtId="0" fontId="58" fillId="23" borderId="0" xfId="0" applyFont="1" applyFill="1" applyAlignment="1">
      <alignment horizontal="center"/>
    </xf>
    <xf numFmtId="0" fontId="58" fillId="23" borderId="17" xfId="0" applyFont="1" applyFill="1" applyBorder="1" applyAlignment="1">
      <alignment horizontal="center"/>
    </xf>
    <xf numFmtId="1" fontId="70" fillId="0" borderId="2" xfId="0" applyNumberFormat="1" applyFont="1" applyBorder="1" applyAlignment="1">
      <alignment horizontal="center" vertical="top"/>
    </xf>
    <xf numFmtId="1" fontId="70" fillId="0" borderId="0" xfId="0" applyNumberFormat="1" applyFont="1" applyAlignment="1">
      <alignment horizontal="center" vertical="top"/>
    </xf>
    <xf numFmtId="0" fontId="25" fillId="0" borderId="0" xfId="0" applyFont="1" applyAlignment="1">
      <alignment horizontal="center" vertical="top"/>
    </xf>
    <xf numFmtId="0" fontId="75" fillId="18" borderId="41" xfId="0" applyFont="1" applyFill="1" applyBorder="1" applyAlignment="1">
      <alignment horizontal="center"/>
    </xf>
    <xf numFmtId="0" fontId="75" fillId="18" borderId="42" xfId="0" applyFont="1" applyFill="1" applyBorder="1" applyAlignment="1">
      <alignment horizontal="center"/>
    </xf>
    <xf numFmtId="0" fontId="75" fillId="18" borderId="43" xfId="0" applyFont="1" applyFill="1" applyBorder="1" applyAlignment="1">
      <alignment horizontal="center"/>
    </xf>
    <xf numFmtId="165" fontId="75" fillId="18" borderId="40" xfId="0" applyNumberFormat="1" applyFont="1" applyFill="1" applyBorder="1" applyAlignment="1">
      <alignment horizontal="center" vertical="center" wrapText="1"/>
    </xf>
    <xf numFmtId="165" fontId="75" fillId="18" borderId="8" xfId="0" applyNumberFormat="1" applyFont="1" applyFill="1" applyBorder="1" applyAlignment="1">
      <alignment horizontal="center" vertical="center" wrapText="1"/>
    </xf>
    <xf numFmtId="165" fontId="75" fillId="18" borderId="10" xfId="0" applyNumberFormat="1" applyFont="1" applyFill="1" applyBorder="1" applyAlignment="1">
      <alignment horizontal="center" vertical="center" wrapText="1"/>
    </xf>
    <xf numFmtId="0" fontId="84" fillId="18" borderId="13" xfId="0" applyFont="1" applyFill="1" applyBorder="1" applyAlignment="1">
      <alignment horizontal="center" vertical="center"/>
    </xf>
    <xf numFmtId="0" fontId="84" fillId="18" borderId="46" xfId="0" applyFont="1" applyFill="1" applyBorder="1" applyAlignment="1">
      <alignment horizontal="center" vertical="center"/>
    </xf>
    <xf numFmtId="165" fontId="81" fillId="18" borderId="42" xfId="1" applyNumberFormat="1" applyFont="1" applyFill="1" applyBorder="1" applyAlignment="1">
      <alignment horizontal="center" vertical="top"/>
    </xf>
    <xf numFmtId="165" fontId="81" fillId="18" borderId="43" xfId="1" applyNumberFormat="1" applyFont="1" applyFill="1" applyBorder="1" applyAlignment="1">
      <alignment horizontal="center" vertical="top"/>
    </xf>
    <xf numFmtId="165" fontId="42" fillId="0" borderId="0" xfId="1" applyNumberFormat="1" applyFont="1" applyFill="1" applyAlignment="1">
      <alignment horizontal="left" vertical="top" wrapText="1"/>
    </xf>
    <xf numFmtId="0" fontId="80" fillId="0" borderId="0" xfId="0" applyFont="1" applyAlignment="1">
      <alignment horizontal="left" vertical="top"/>
    </xf>
    <xf numFmtId="0" fontId="86" fillId="23" borderId="16" xfId="0" applyFont="1" applyFill="1" applyBorder="1" applyAlignment="1">
      <alignment horizontal="center"/>
    </xf>
    <xf numFmtId="0" fontId="86" fillId="23" borderId="0" xfId="0" applyFont="1" applyFill="1" applyAlignment="1">
      <alignment horizontal="center"/>
    </xf>
    <xf numFmtId="0" fontId="77" fillId="0" borderId="0" xfId="4" applyFont="1" applyAlignment="1">
      <alignment horizontal="left" vertical="top"/>
    </xf>
    <xf numFmtId="0" fontId="89" fillId="23" borderId="41" xfId="6" applyFont="1" applyFill="1" applyBorder="1" applyAlignment="1">
      <alignment horizontal="center" vertical="center" wrapText="1"/>
    </xf>
    <xf numFmtId="0" fontId="89" fillId="23" borderId="42" xfId="6" applyFont="1" applyFill="1" applyBorder="1" applyAlignment="1">
      <alignment horizontal="center" vertical="center" wrapText="1"/>
    </xf>
    <xf numFmtId="0" fontId="89" fillId="23" borderId="43" xfId="6" applyFont="1" applyFill="1" applyBorder="1" applyAlignment="1">
      <alignment horizontal="center" vertical="center" wrapText="1"/>
    </xf>
    <xf numFmtId="169" fontId="67" fillId="26" borderId="41" xfId="6" applyNumberFormat="1" applyFont="1" applyFill="1" applyBorder="1" applyAlignment="1">
      <alignment horizontal="center" vertical="top" wrapText="1"/>
    </xf>
    <xf numFmtId="169" fontId="67" fillId="26" borderId="42" xfId="6" applyNumberFormat="1" applyFont="1" applyFill="1" applyBorder="1" applyAlignment="1">
      <alignment horizontal="center" vertical="top" wrapText="1"/>
    </xf>
    <xf numFmtId="169" fontId="67" fillId="26" borderId="43" xfId="6" applyNumberFormat="1" applyFont="1" applyFill="1" applyBorder="1" applyAlignment="1">
      <alignment horizontal="center" vertical="top" wrapText="1"/>
    </xf>
    <xf numFmtId="0" fontId="23" fillId="0" borderId="75" xfId="0" applyFont="1" applyBorder="1" applyAlignment="1">
      <alignment horizontal="center" wrapText="1"/>
    </xf>
    <xf numFmtId="0" fontId="23" fillId="0" borderId="77" xfId="0" applyFont="1" applyBorder="1" applyAlignment="1">
      <alignment horizontal="center" wrapText="1"/>
    </xf>
    <xf numFmtId="0" fontId="68" fillId="13" borderId="41" xfId="0" applyFont="1" applyFill="1" applyBorder="1" applyAlignment="1">
      <alignment horizontal="center" vertical="center" wrapText="1"/>
    </xf>
    <xf numFmtId="0" fontId="68" fillId="13" borderId="42" xfId="0" applyFont="1" applyFill="1" applyBorder="1" applyAlignment="1">
      <alignment horizontal="center" vertical="center" wrapText="1"/>
    </xf>
    <xf numFmtId="0" fontId="68" fillId="13" borderId="60" xfId="0" applyFont="1" applyFill="1" applyBorder="1" applyAlignment="1">
      <alignment horizontal="center" vertical="center" wrapText="1"/>
    </xf>
    <xf numFmtId="169" fontId="61" fillId="0" borderId="61" xfId="6" applyNumberFormat="1" applyFont="1" applyFill="1" applyBorder="1" applyAlignment="1">
      <alignment horizontal="center" vertical="top" wrapText="1"/>
    </xf>
    <xf numFmtId="169" fontId="61" fillId="0" borderId="54" xfId="6" applyNumberFormat="1" applyFont="1" applyFill="1" applyBorder="1" applyAlignment="1">
      <alignment horizontal="center" vertical="top" wrapText="1"/>
    </xf>
    <xf numFmtId="169" fontId="61" fillId="0" borderId="62" xfId="6" applyNumberFormat="1" applyFont="1" applyFill="1" applyBorder="1" applyAlignment="1">
      <alignment horizontal="center" vertical="top" wrapText="1"/>
    </xf>
    <xf numFmtId="169" fontId="61" fillId="0" borderId="61" xfId="6" applyNumberFormat="1" applyFont="1" applyFill="1" applyBorder="1" applyAlignment="1">
      <alignment horizontal="center" vertical="top"/>
    </xf>
    <xf numFmtId="169" fontId="61" fillId="0" borderId="54" xfId="6" applyNumberFormat="1" applyFont="1" applyFill="1" applyBorder="1" applyAlignment="1">
      <alignment horizontal="center" vertical="top"/>
    </xf>
    <xf numFmtId="169" fontId="61" fillId="0" borderId="62" xfId="6" applyNumberFormat="1" applyFont="1" applyFill="1" applyBorder="1" applyAlignment="1">
      <alignment horizontal="center" vertical="top"/>
    </xf>
    <xf numFmtId="169" fontId="61" fillId="0" borderId="75" xfId="6" applyNumberFormat="1" applyFont="1" applyFill="1" applyBorder="1" applyAlignment="1">
      <alignment horizontal="center" vertical="top" wrapText="1"/>
    </xf>
    <xf numFmtId="169" fontId="61" fillId="0" borderId="76" xfId="6" applyNumberFormat="1" applyFont="1" applyFill="1" applyBorder="1" applyAlignment="1">
      <alignment horizontal="center" vertical="top" wrapText="1"/>
    </xf>
    <xf numFmtId="169" fontId="61" fillId="0" borderId="77" xfId="6" applyNumberFormat="1" applyFont="1" applyFill="1" applyBorder="1" applyAlignment="1">
      <alignment horizontal="center" vertical="top" wrapText="1"/>
    </xf>
    <xf numFmtId="169" fontId="61" fillId="0" borderId="63" xfId="6" applyNumberFormat="1" applyFont="1" applyFill="1" applyBorder="1" applyAlignment="1">
      <alignment horizontal="center" vertical="top"/>
    </xf>
    <xf numFmtId="169" fontId="61" fillId="0" borderId="64" xfId="6" applyNumberFormat="1" applyFont="1" applyFill="1" applyBorder="1" applyAlignment="1">
      <alignment horizontal="center" vertical="top"/>
    </xf>
    <xf numFmtId="169" fontId="61" fillId="0" borderId="65" xfId="6" applyNumberFormat="1" applyFont="1" applyFill="1" applyBorder="1" applyAlignment="1">
      <alignment horizontal="center" vertical="top"/>
    </xf>
    <xf numFmtId="169" fontId="61" fillId="0" borderId="63" xfId="6" applyNumberFormat="1" applyFont="1" applyFill="1" applyBorder="1" applyAlignment="1">
      <alignment horizontal="center" vertical="top" wrapText="1"/>
    </xf>
    <xf numFmtId="169" fontId="61" fillId="0" borderId="64" xfId="6" applyNumberFormat="1" applyFont="1" applyFill="1" applyBorder="1" applyAlignment="1">
      <alignment horizontal="center" vertical="top" wrapText="1"/>
    </xf>
    <xf numFmtId="169" fontId="61" fillId="0" borderId="65" xfId="6" applyNumberFormat="1" applyFont="1" applyFill="1" applyBorder="1" applyAlignment="1">
      <alignment horizontal="center" vertical="top" wrapText="1"/>
    </xf>
    <xf numFmtId="169" fontId="61" fillId="0" borderId="41" xfId="6" applyNumberFormat="1" applyFont="1" applyFill="1" applyBorder="1" applyAlignment="1">
      <alignment horizontal="center" vertical="top"/>
    </xf>
    <xf numFmtId="169" fontId="61" fillId="0" borderId="42" xfId="6" applyNumberFormat="1" applyFont="1" applyFill="1" applyBorder="1" applyAlignment="1">
      <alignment horizontal="center" vertical="top"/>
    </xf>
    <xf numFmtId="169" fontId="61" fillId="0" borderId="60" xfId="6" applyNumberFormat="1" applyFont="1" applyFill="1" applyBorder="1" applyAlignment="1">
      <alignment horizontal="center" vertical="top"/>
    </xf>
    <xf numFmtId="169" fontId="61" fillId="0" borderId="41" xfId="6" applyNumberFormat="1" applyFont="1" applyFill="1" applyBorder="1" applyAlignment="1">
      <alignment horizontal="center" vertical="top" wrapText="1"/>
    </xf>
    <xf numFmtId="169" fontId="61" fillId="0" borderId="42" xfId="6" applyNumberFormat="1" applyFont="1" applyFill="1" applyBorder="1" applyAlignment="1">
      <alignment horizontal="center" vertical="top" wrapText="1"/>
    </xf>
    <xf numFmtId="169" fontId="61" fillId="0" borderId="60" xfId="6" applyNumberFormat="1" applyFont="1" applyFill="1" applyBorder="1" applyAlignment="1">
      <alignment horizontal="center" vertical="top" wrapText="1"/>
    </xf>
    <xf numFmtId="0" fontId="89" fillId="23" borderId="41" xfId="6" applyFont="1" applyFill="1" applyBorder="1" applyAlignment="1">
      <alignment horizontal="center" vertical="top" wrapText="1"/>
    </xf>
    <xf numFmtId="0" fontId="89" fillId="23" borderId="42" xfId="6" applyFont="1" applyFill="1" applyBorder="1" applyAlignment="1">
      <alignment horizontal="center" vertical="top" wrapText="1"/>
    </xf>
    <xf numFmtId="0" fontId="89" fillId="23" borderId="43" xfId="6" applyFont="1" applyFill="1" applyBorder="1" applyAlignment="1">
      <alignment horizontal="center" vertical="top" wrapText="1"/>
    </xf>
    <xf numFmtId="0" fontId="68" fillId="13" borderId="13" xfId="0" applyFont="1" applyFill="1" applyBorder="1" applyAlignment="1">
      <alignment horizontal="center" vertical="center" wrapText="1"/>
    </xf>
    <xf numFmtId="0" fontId="68" fillId="13" borderId="66" xfId="0" applyFont="1" applyFill="1" applyBorder="1" applyAlignment="1">
      <alignment horizontal="center" vertical="center" wrapText="1"/>
    </xf>
    <xf numFmtId="0" fontId="71" fillId="0" borderId="46" xfId="4" applyFont="1" applyBorder="1" applyAlignment="1">
      <alignment horizontal="center" vertical="top"/>
    </xf>
    <xf numFmtId="0" fontId="71" fillId="0" borderId="71" xfId="4" applyFont="1" applyBorder="1" applyAlignment="1">
      <alignment horizontal="center" vertical="top"/>
    </xf>
    <xf numFmtId="43" fontId="71" fillId="0" borderId="75" xfId="9" applyFont="1" applyFill="1" applyBorder="1" applyAlignment="1">
      <alignment horizontal="center" vertical="top"/>
    </xf>
    <xf numFmtId="43" fontId="71" fillId="0" borderId="76" xfId="9" applyFont="1" applyFill="1" applyBorder="1" applyAlignment="1">
      <alignment horizontal="center" vertical="top"/>
    </xf>
    <xf numFmtId="43" fontId="71" fillId="0" borderId="77" xfId="9" applyFont="1" applyFill="1" applyBorder="1" applyAlignment="1">
      <alignment horizontal="center" vertical="top"/>
    </xf>
    <xf numFmtId="0" fontId="23" fillId="0" borderId="34" xfId="0" applyFont="1" applyBorder="1" applyAlignment="1">
      <alignment horizontal="center"/>
    </xf>
    <xf numFmtId="0" fontId="23" fillId="0" borderId="81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68" xfId="0" applyFont="1" applyBorder="1" applyAlignment="1">
      <alignment horizontal="center"/>
    </xf>
    <xf numFmtId="0" fontId="71" fillId="0" borderId="41" xfId="4" applyFont="1" applyBorder="1" applyAlignment="1">
      <alignment horizontal="center" vertical="top"/>
    </xf>
    <xf numFmtId="0" fontId="71" fillId="0" borderId="60" xfId="4" applyFont="1" applyBorder="1" applyAlignment="1">
      <alignment horizontal="center" vertical="top"/>
    </xf>
    <xf numFmtId="0" fontId="94" fillId="23" borderId="41" xfId="0" applyFont="1" applyFill="1" applyBorder="1" applyAlignment="1">
      <alignment horizontal="center" vertical="center" wrapText="1"/>
    </xf>
    <xf numFmtId="0" fontId="94" fillId="23" borderId="60" xfId="0" applyFont="1" applyFill="1" applyBorder="1" applyAlignment="1">
      <alignment horizontal="center" vertical="center" wrapText="1"/>
    </xf>
    <xf numFmtId="0" fontId="94" fillId="23" borderId="42" xfId="0" applyFont="1" applyFill="1" applyBorder="1" applyAlignment="1">
      <alignment horizontal="center" vertical="center" wrapText="1"/>
    </xf>
    <xf numFmtId="0" fontId="71" fillId="0" borderId="29" xfId="4" applyFont="1" applyBorder="1" applyAlignment="1">
      <alignment horizontal="center" vertical="top"/>
    </xf>
    <xf numFmtId="0" fontId="71" fillId="0" borderId="70" xfId="4" applyFont="1" applyBorder="1" applyAlignment="1">
      <alignment horizontal="center" vertical="top"/>
    </xf>
    <xf numFmtId="43" fontId="71" fillId="0" borderId="29" xfId="9" applyFont="1" applyFill="1" applyBorder="1" applyAlignment="1">
      <alignment horizontal="center" vertical="top"/>
    </xf>
    <xf numFmtId="43" fontId="71" fillId="0" borderId="19" xfId="9" applyFont="1" applyFill="1" applyBorder="1" applyAlignment="1">
      <alignment horizontal="center" vertical="top"/>
    </xf>
    <xf numFmtId="43" fontId="71" fillId="0" borderId="70" xfId="9" applyFont="1" applyFill="1" applyBorder="1" applyAlignment="1">
      <alignment horizontal="center" vertical="top"/>
    </xf>
    <xf numFmtId="43" fontId="71" fillId="0" borderId="46" xfId="9" applyFont="1" applyFill="1" applyBorder="1" applyAlignment="1">
      <alignment horizontal="center" vertical="top"/>
    </xf>
    <xf numFmtId="43" fontId="71" fillId="0" borderId="18" xfId="9" applyFont="1" applyFill="1" applyBorder="1" applyAlignment="1">
      <alignment horizontal="center" vertical="top"/>
    </xf>
    <xf numFmtId="43" fontId="71" fillId="0" borderId="71" xfId="9" applyFont="1" applyFill="1" applyBorder="1" applyAlignment="1">
      <alignment horizontal="center" vertical="top"/>
    </xf>
    <xf numFmtId="0" fontId="94" fillId="23" borderId="43" xfId="0" applyFont="1" applyFill="1" applyBorder="1" applyAlignment="1">
      <alignment horizontal="center" vertical="center" wrapText="1"/>
    </xf>
    <xf numFmtId="0" fontId="68" fillId="13" borderId="40" xfId="0" applyFont="1" applyFill="1" applyBorder="1" applyAlignment="1">
      <alignment horizontal="center" vertical="center" wrapText="1"/>
    </xf>
    <xf numFmtId="0" fontId="68" fillId="13" borderId="10" xfId="0" applyFont="1" applyFill="1" applyBorder="1" applyAlignment="1">
      <alignment horizontal="center" vertical="center" wrapText="1"/>
    </xf>
    <xf numFmtId="0" fontId="68" fillId="13" borderId="43" xfId="0" applyFont="1" applyFill="1" applyBorder="1" applyAlignment="1">
      <alignment horizontal="center" vertical="center" wrapText="1"/>
    </xf>
    <xf numFmtId="0" fontId="73" fillId="18" borderId="1" xfId="0" applyFont="1" applyFill="1" applyBorder="1" applyAlignment="1">
      <alignment horizontal="center" vertical="top"/>
    </xf>
    <xf numFmtId="0" fontId="75" fillId="18" borderId="0" xfId="0" applyFont="1" applyFill="1" applyAlignment="1">
      <alignment horizontal="left" vertical="top"/>
    </xf>
    <xf numFmtId="0" fontId="77" fillId="0" borderId="18" xfId="0" applyFont="1" applyBorder="1" applyAlignment="1">
      <alignment horizontal="left" vertical="top"/>
    </xf>
    <xf numFmtId="0" fontId="75" fillId="18" borderId="41" xfId="0" applyFont="1" applyFill="1" applyBorder="1" applyAlignment="1">
      <alignment horizontal="left" vertical="top"/>
    </xf>
    <xf numFmtId="0" fontId="75" fillId="18" borderId="42" xfId="0" applyFont="1" applyFill="1" applyBorder="1" applyAlignment="1">
      <alignment horizontal="left" vertical="top"/>
    </xf>
    <xf numFmtId="0" fontId="75" fillId="18" borderId="43" xfId="0" applyFont="1" applyFill="1" applyBorder="1" applyAlignment="1">
      <alignment horizontal="left" vertical="top"/>
    </xf>
    <xf numFmtId="0" fontId="73" fillId="18" borderId="11" xfId="0" applyFont="1" applyFill="1" applyBorder="1" applyAlignment="1">
      <alignment horizontal="center" vertical="top"/>
    </xf>
    <xf numFmtId="0" fontId="73" fillId="18" borderId="20" xfId="0" applyFont="1" applyFill="1" applyBorder="1" applyAlignment="1">
      <alignment horizontal="center" vertical="top"/>
    </xf>
    <xf numFmtId="0" fontId="73" fillId="18" borderId="12" xfId="0" applyFont="1" applyFill="1" applyBorder="1" applyAlignment="1">
      <alignment horizontal="center" vertical="top"/>
    </xf>
    <xf numFmtId="0" fontId="97" fillId="18" borderId="41" xfId="0" applyFont="1" applyFill="1" applyBorder="1" applyAlignment="1">
      <alignment horizontal="center" vertical="center" wrapText="1"/>
    </xf>
    <xf numFmtId="0" fontId="97" fillId="18" borderId="42" xfId="0" applyFont="1" applyFill="1" applyBorder="1" applyAlignment="1">
      <alignment horizontal="center" vertical="center" wrapText="1"/>
    </xf>
    <xf numFmtId="0" fontId="97" fillId="18" borderId="43" xfId="0" applyFont="1" applyFill="1" applyBorder="1" applyAlignment="1">
      <alignment horizontal="center" vertical="center" wrapText="1"/>
    </xf>
    <xf numFmtId="0" fontId="58" fillId="32" borderId="41" xfId="0" applyFont="1" applyFill="1" applyBorder="1" applyAlignment="1">
      <alignment horizontal="left"/>
    </xf>
    <xf numFmtId="0" fontId="58" fillId="32" borderId="42" xfId="0" applyFont="1" applyFill="1" applyBorder="1" applyAlignment="1">
      <alignment horizontal="left"/>
    </xf>
    <xf numFmtId="0" fontId="58" fillId="32" borderId="43" xfId="0" applyFont="1" applyFill="1" applyBorder="1" applyAlignment="1">
      <alignment horizontal="left"/>
    </xf>
    <xf numFmtId="0" fontId="58" fillId="32" borderId="92" xfId="0" applyFont="1" applyFill="1" applyBorder="1" applyAlignment="1">
      <alignment horizontal="center"/>
    </xf>
    <xf numFmtId="0" fontId="101" fillId="18" borderId="93" xfId="0" applyFont="1" applyFill="1" applyBorder="1"/>
    <xf numFmtId="0" fontId="101" fillId="18" borderId="94" xfId="0" applyFont="1" applyFill="1" applyBorder="1"/>
    <xf numFmtId="0" fontId="0" fillId="0" borderId="0" xfId="0" applyAlignment="1">
      <alignment horizontal="left" vertical="top"/>
    </xf>
    <xf numFmtId="0" fontId="0" fillId="0" borderId="18" xfId="0" applyBorder="1" applyAlignment="1">
      <alignment horizontal="left" vertical="top"/>
    </xf>
    <xf numFmtId="0" fontId="33" fillId="31" borderId="41" xfId="0" applyFont="1" applyFill="1" applyBorder="1" applyAlignment="1">
      <alignment horizontal="left" vertical="top"/>
    </xf>
    <xf numFmtId="0" fontId="33" fillId="31" borderId="42" xfId="0" applyFont="1" applyFill="1" applyBorder="1" applyAlignment="1">
      <alignment horizontal="left" vertical="top"/>
    </xf>
    <xf numFmtId="0" fontId="7" fillId="29" borderId="86" xfId="0" applyFont="1" applyFill="1" applyBorder="1" applyAlignment="1">
      <alignment horizontal="center" vertical="top"/>
    </xf>
    <xf numFmtId="0" fontId="3" fillId="18" borderId="86" xfId="0" applyFont="1" applyFill="1" applyBorder="1" applyAlignment="1">
      <alignment horizontal="center" vertical="top"/>
    </xf>
    <xf numFmtId="0" fontId="3" fillId="18" borderId="87" xfId="0" applyFont="1" applyFill="1" applyBorder="1" applyAlignment="1">
      <alignment horizontal="center" vertical="top"/>
    </xf>
    <xf numFmtId="0" fontId="7" fillId="29" borderId="41" xfId="0" applyFont="1" applyFill="1" applyBorder="1" applyAlignment="1">
      <alignment horizontal="center" vertical="top"/>
    </xf>
    <xf numFmtId="0" fontId="7" fillId="29" borderId="42" xfId="0" applyFont="1" applyFill="1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95" fillId="0" borderId="0" xfId="0" applyFont="1" applyAlignment="1">
      <alignment horizontal="center" vertical="center"/>
    </xf>
    <xf numFmtId="0" fontId="95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top"/>
    </xf>
    <xf numFmtId="0" fontId="0" fillId="0" borderId="85" xfId="0" applyBorder="1" applyAlignment="1">
      <alignment horizontal="center" vertical="top"/>
    </xf>
  </cellXfs>
  <cellStyles count="12">
    <cellStyle name="Comma" xfId="1" builtinId="3"/>
    <cellStyle name="Comma 2" xfId="9" xr:uid="{C834BC1D-E0C8-45C0-9EB0-069E0CF94D35}"/>
    <cellStyle name="EY1dp" xfId="11" xr:uid="{5E53E774-369B-481E-999C-3D2FFD212700}"/>
    <cellStyle name="EYColumnHeading 3" xfId="5" xr:uid="{B9FB58A8-34B8-46B6-B9A7-B60D893ADA69}"/>
    <cellStyle name="EYnumber 2 2" xfId="8" xr:uid="{B72CE022-1A28-4B95-B13A-9AC61D48F9CE}"/>
    <cellStyle name="EYSource" xfId="10" xr:uid="{D22EDFE9-5389-4F8E-81C6-FEB55B98CDB1}"/>
    <cellStyle name="EYtext" xfId="6" xr:uid="{7349C883-B18B-4482-ADED-91952150A24D}"/>
    <cellStyle name="Hyperlink" xfId="3" builtinId="8"/>
    <cellStyle name="Normal" xfId="0" builtinId="0"/>
    <cellStyle name="Normal 4" xfId="4" xr:uid="{5E8D6E34-B1E8-41A9-AA8B-FAE83B8573B2}"/>
    <cellStyle name="Percent" xfId="2" builtinId="5"/>
    <cellStyle name="Percent 2" xfId="7" xr:uid="{4261A50B-154F-463B-B093-000B0309D597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valuation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'Football field Analysis'!$D$6</c:f>
              <c:strCache>
                <c:ptCount val="1"/>
                <c:pt idx="0">
                  <c:v>Lower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Analysis'!$C$7:$C$12</c:f>
              <c:strCache>
                <c:ptCount val="6"/>
                <c:pt idx="0">
                  <c:v>DCF</c:v>
                </c:pt>
                <c:pt idx="1">
                  <c:v>CCA</c:v>
                </c:pt>
                <c:pt idx="2">
                  <c:v>Market Consensus</c:v>
                </c:pt>
                <c:pt idx="3">
                  <c:v>52 week range</c:v>
                </c:pt>
                <c:pt idx="4">
                  <c:v>Unaffected Price</c:v>
                </c:pt>
                <c:pt idx="5">
                  <c:v>Final Range </c:v>
                </c:pt>
              </c:strCache>
            </c:strRef>
          </c:cat>
          <c:val>
            <c:numRef>
              <c:f>'Football field Analysis'!$D$7:$D$12</c:f>
              <c:numCache>
                <c:formatCode>0.00</c:formatCode>
                <c:ptCount val="6"/>
                <c:pt idx="0">
                  <c:v>505.6861761198997</c:v>
                </c:pt>
                <c:pt idx="1">
                  <c:v>714.32203944877949</c:v>
                </c:pt>
                <c:pt idx="2">
                  <c:v>184</c:v>
                </c:pt>
                <c:pt idx="3">
                  <c:v>147.22</c:v>
                </c:pt>
                <c:pt idx="4">
                  <c:v>167</c:v>
                </c:pt>
                <c:pt idx="5">
                  <c:v>147.22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70-4D27-AF73-7CBF6732209A}"/>
            </c:ext>
          </c:extLst>
        </c:ser>
        <c:ser>
          <c:idx val="1"/>
          <c:order val="1"/>
          <c:tx>
            <c:strRef>
              <c:f>'Football field Analysis'!$E$6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Analysis'!$C$7:$C$12</c:f>
              <c:strCache>
                <c:ptCount val="6"/>
                <c:pt idx="0">
                  <c:v>DCF</c:v>
                </c:pt>
                <c:pt idx="1">
                  <c:v>CCA</c:v>
                </c:pt>
                <c:pt idx="2">
                  <c:v>Market Consensus</c:v>
                </c:pt>
                <c:pt idx="3">
                  <c:v>52 week range</c:v>
                </c:pt>
                <c:pt idx="4">
                  <c:v>Unaffected Price</c:v>
                </c:pt>
                <c:pt idx="5">
                  <c:v>Final Range </c:v>
                </c:pt>
              </c:strCache>
            </c:strRef>
          </c:cat>
          <c:val>
            <c:numRef>
              <c:f>'Football field Analysis'!$E$7:$E$12</c:f>
              <c:numCache>
                <c:formatCode>0.00</c:formatCode>
                <c:ptCount val="6"/>
                <c:pt idx="0">
                  <c:v>29.695341418029955</c:v>
                </c:pt>
                <c:pt idx="1">
                  <c:v>-95.863483862931389</c:v>
                </c:pt>
                <c:pt idx="2" formatCode="_ * #,##0.0_ ;_ * \-#,##0.0_ ;_ * &quot;-&quot;??_ ;_ @_ ">
                  <c:v>56</c:v>
                </c:pt>
                <c:pt idx="3">
                  <c:v>59.830000000000013</c:v>
                </c:pt>
                <c:pt idx="4" formatCode="_ * #,##0.0_ ;_ * \-#,##0.0_ ;_ * &quot;-&quot;??_ ;_ @_ ">
                  <c:v>0</c:v>
                </c:pt>
                <c:pt idx="5" formatCode="_ * #,##0.0_ ;_ * \-#,##0.0_ ;_ * &quot;-&quot;??_ ;_ @_ ">
                  <c:v>471.23855558584808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70-4D27-AF73-7CBF6732209A}"/>
            </c:ext>
          </c:extLst>
        </c:ser>
        <c:ser>
          <c:idx val="2"/>
          <c:order val="2"/>
          <c:tx>
            <c:strRef>
              <c:f>'Football field Analysis'!$F$6</c:f>
              <c:strCache>
                <c:ptCount val="1"/>
                <c:pt idx="0">
                  <c:v>Higher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'Football field Analysis'!$C$7:$C$12</c:f>
              <c:strCache>
                <c:ptCount val="6"/>
                <c:pt idx="0">
                  <c:v>DCF</c:v>
                </c:pt>
                <c:pt idx="1">
                  <c:v>CCA</c:v>
                </c:pt>
                <c:pt idx="2">
                  <c:v>Market Consensus</c:v>
                </c:pt>
                <c:pt idx="3">
                  <c:v>52 week range</c:v>
                </c:pt>
                <c:pt idx="4">
                  <c:v>Unaffected Price</c:v>
                </c:pt>
                <c:pt idx="5">
                  <c:v>Final Range </c:v>
                </c:pt>
              </c:strCache>
            </c:strRef>
          </c:cat>
          <c:val>
            <c:numRef>
              <c:f>'Football field Analysis'!$F$7:$F$12</c:f>
              <c:numCache>
                <c:formatCode>0.00</c:formatCode>
                <c:ptCount val="6"/>
                <c:pt idx="0">
                  <c:v>535.38151753792965</c:v>
                </c:pt>
                <c:pt idx="1">
                  <c:v>618.4585555858481</c:v>
                </c:pt>
                <c:pt idx="2">
                  <c:v>240</c:v>
                </c:pt>
                <c:pt idx="3">
                  <c:v>207.05</c:v>
                </c:pt>
                <c:pt idx="4">
                  <c:v>167</c:v>
                </c:pt>
                <c:pt idx="5">
                  <c:v>618.4585555858481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70-4D27-AF73-7CBF6732209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83165392"/>
        <c:axId val="783151952"/>
      </c:barChart>
      <c:catAx>
        <c:axId val="783165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151952"/>
        <c:crosses val="autoZero"/>
        <c:auto val="1"/>
        <c:lblAlgn val="ctr"/>
        <c:lblOffset val="100"/>
        <c:noMultiLvlLbl val="0"/>
      </c:catAx>
      <c:valAx>
        <c:axId val="783151952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78316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 on Equity(A*B*C)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'Dupont Analysis'!$H$5</c:f>
              <c:strCache>
                <c:ptCount val="1"/>
                <c:pt idx="0">
                  <c:v>Return on Equity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'Dupont Analysis'!$I$4:$M$4</c:f>
              <c:numCache>
                <c:formatCode>d\-mmm\-yy</c:formatCode>
                <c:ptCount val="5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</c:numCache>
            </c:numRef>
          </c:cat>
          <c:val>
            <c:numRef>
              <c:f>'Dupont Analysis'!$I$5:$M$5</c:f>
              <c:numCache>
                <c:formatCode>0.00%</c:formatCode>
                <c:ptCount val="5"/>
                <c:pt idx="0">
                  <c:v>0.16949338024997423</c:v>
                </c:pt>
                <c:pt idx="1">
                  <c:v>0.29412868347501475</c:v>
                </c:pt>
                <c:pt idx="2">
                  <c:v>0.21747581265139757</c:v>
                </c:pt>
                <c:pt idx="3">
                  <c:v>0.23894829721612848</c:v>
                </c:pt>
                <c:pt idx="4">
                  <c:v>0.2573669795829901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B3-4531-AA1A-1E2CC83C1E6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18208303"/>
        <c:axId val="1618202543"/>
      </c:barChart>
      <c:dateAx>
        <c:axId val="1618208303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202543"/>
        <c:crosses val="autoZero"/>
        <c:auto val="1"/>
        <c:lblOffset val="100"/>
        <c:baseTimeUnit val="years"/>
      </c:dateAx>
      <c:valAx>
        <c:axId val="161820254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618208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'Dupont Analysis'!$H$29</c:f>
              <c:strCache>
                <c:ptCount val="1"/>
                <c:pt idx="0">
                  <c:v>Return on Asset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'Dupont Analysis'!$I$28:$M$28</c:f>
              <c:numCache>
                <c:formatCode>d\-mmm\-yy</c:formatCode>
                <c:ptCount val="5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</c:numCache>
            </c:numRef>
          </c:cat>
          <c:val>
            <c:numRef>
              <c:f>'Dupont Analysis'!$I$29:$M$29</c:f>
              <c:numCache>
                <c:formatCode>0.00%</c:formatCode>
                <c:ptCount val="5"/>
                <c:pt idx="0">
                  <c:v>0.13523865496830528</c:v>
                </c:pt>
                <c:pt idx="1">
                  <c:v>0.2239940844091185</c:v>
                </c:pt>
                <c:pt idx="2">
                  <c:v>0.16554686335455163</c:v>
                </c:pt>
                <c:pt idx="3">
                  <c:v>0.19226059589190991</c:v>
                </c:pt>
                <c:pt idx="4">
                  <c:v>0.23484016851033487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B-4EF1-B8A5-16B1432C9B3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18215023"/>
        <c:axId val="1618227503"/>
      </c:barChart>
      <c:dateAx>
        <c:axId val="1618215023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227503"/>
        <c:crosses val="autoZero"/>
        <c:auto val="1"/>
        <c:lblOffset val="100"/>
        <c:baseTimeUnit val="years"/>
      </c:dateAx>
      <c:valAx>
        <c:axId val="161822750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61821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'Dupont Analysis'!$H$44</c:f>
              <c:strCache>
                <c:ptCount val="1"/>
                <c:pt idx="0">
                  <c:v>Equity Multiplier 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'Dupont Analysis'!$I$43:$M$43</c:f>
              <c:numCache>
                <c:formatCode>d\-mmm\-yy</c:formatCode>
                <c:ptCount val="5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</c:numCache>
            </c:numRef>
          </c:cat>
          <c:val>
            <c:numRef>
              <c:f>'Dupont Analysis'!$I$44:$M$44</c:f>
              <c:numCache>
                <c:formatCode>0.00</c:formatCode>
                <c:ptCount val="5"/>
                <c:pt idx="0">
                  <c:v>1.2532909343833458</c:v>
                </c:pt>
                <c:pt idx="1">
                  <c:v>1.3131091575516678</c:v>
                </c:pt>
                <c:pt idx="2">
                  <c:v>1.3136812636892414</c:v>
                </c:pt>
                <c:pt idx="3">
                  <c:v>1.2428355176349639</c:v>
                </c:pt>
                <c:pt idx="4">
                  <c:v>1.0959240117035765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A2-46E3-AC85-7CB80FA4E04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18219823"/>
        <c:axId val="1618204943"/>
      </c:barChart>
      <c:dateAx>
        <c:axId val="1618219823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204943"/>
        <c:crosses val="autoZero"/>
        <c:auto val="1"/>
        <c:lblOffset val="100"/>
        <c:baseTimeUnit val="years"/>
      </c:dateAx>
      <c:valAx>
        <c:axId val="161820494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1618219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'Dupont Analysis'!$A$44</c:f>
              <c:strCache>
                <c:ptCount val="1"/>
                <c:pt idx="0">
                  <c:v>Asset Turnover Ratio 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'Dupont Analysis'!$B$43:$F$43</c:f>
              <c:numCache>
                <c:formatCode>d\-mmm\-yy</c:formatCode>
                <c:ptCount val="5"/>
                <c:pt idx="0">
                  <c:v>44196</c:v>
                </c:pt>
                <c:pt idx="1">
                  <c:v>44561</c:v>
                </c:pt>
                <c:pt idx="2">
                  <c:v>44926</c:v>
                </c:pt>
                <c:pt idx="3">
                  <c:v>45291</c:v>
                </c:pt>
                <c:pt idx="4">
                  <c:v>45657</c:v>
                </c:pt>
              </c:numCache>
            </c:numRef>
          </c:cat>
          <c:val>
            <c:numRef>
              <c:f>'Dupont Analysis'!$B$44:$F$44</c:f>
              <c:numCache>
                <c:formatCode>0.0</c:formatCode>
                <c:ptCount val="5"/>
                <c:pt idx="0">
                  <c:v>0.61299525628646989</c:v>
                </c:pt>
                <c:pt idx="1">
                  <c:v>0.75900153781794832</c:v>
                </c:pt>
                <c:pt idx="2">
                  <c:v>0.78074122330000606</c:v>
                </c:pt>
                <c:pt idx="3">
                  <c:v>0.80086392863470091</c:v>
                </c:pt>
                <c:pt idx="4">
                  <c:v>0.82101406442048774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C-4CAC-B579-502AD2A19B0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926753919"/>
        <c:axId val="1926757759"/>
      </c:barChart>
      <c:dateAx>
        <c:axId val="1926753919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757759"/>
        <c:crosses val="autoZero"/>
        <c:auto val="1"/>
        <c:lblOffset val="100"/>
        <c:baseTimeUnit val="years"/>
      </c:dateAx>
      <c:valAx>
        <c:axId val="192675775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1926753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2</xdr:row>
      <xdr:rowOff>119062</xdr:rowOff>
    </xdr:from>
    <xdr:to>
      <xdr:col>14</xdr:col>
      <xdr:colOff>381000</xdr:colOff>
      <xdr:row>14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31661A-C573-99F4-394C-83EC384B0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904875</xdr:colOff>
      <xdr:row>5</xdr:row>
      <xdr:rowOff>128587</xdr:rowOff>
    </xdr:from>
    <xdr:to>
      <xdr:col>13</xdr:col>
      <xdr:colOff>142875</xdr:colOff>
      <xdr:row>18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B08526-32BC-0C4E-3DD1-B656C31AF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838200</xdr:colOff>
      <xdr:row>29</xdr:row>
      <xdr:rowOff>47625</xdr:rowOff>
    </xdr:from>
    <xdr:to>
      <xdr:col>11</xdr:col>
      <xdr:colOff>809624</xdr:colOff>
      <xdr:row>39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2DAE577-20DC-FD90-28F7-01BE0A02B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504825</xdr:colOff>
      <xdr:row>44</xdr:row>
      <xdr:rowOff>128587</xdr:rowOff>
    </xdr:from>
    <xdr:to>
      <xdr:col>12</xdr:col>
      <xdr:colOff>552450</xdr:colOff>
      <xdr:row>59</xdr:row>
      <xdr:rowOff>14287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9F5C208-170A-803A-E4D7-57AE4BC1A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1619250</xdr:colOff>
      <xdr:row>45</xdr:row>
      <xdr:rowOff>71437</xdr:rowOff>
    </xdr:from>
    <xdr:to>
      <xdr:col>5</xdr:col>
      <xdr:colOff>9525</xdr:colOff>
      <xdr:row>59</xdr:row>
      <xdr:rowOff>147637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959432A-AA29-EFF8-4FCF-D1EBD95E5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hishek/Downloads/Case%20Study%20-%20Valu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hishek/Downloads/Day%2040%20-%20Football%20Field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enue Segments"/>
      <sheetName val="CocaCola-IS"/>
      <sheetName val="Fixed Assets Schedule"/>
      <sheetName val="CocaCola-BS"/>
      <sheetName val="CocaCola-CFS"/>
      <sheetName val="Debt Schedule"/>
      <sheetName val="Beta"/>
      <sheetName val="WACC"/>
      <sheetName val="Sheet1"/>
      <sheetName val="DCF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C3">
            <v>12</v>
          </cell>
          <cell r="D3">
            <v>12</v>
          </cell>
          <cell r="E3">
            <v>12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Input Sheet"/>
      <sheetName val="Output Sheet"/>
      <sheetName val="Sheet3"/>
    </sheetNames>
    <sheetDataSet>
      <sheetData sheetId="0"/>
      <sheetData sheetId="1"/>
      <sheetData sheetId="2">
        <row r="9">
          <cell r="A9" t="str">
            <v>CCA</v>
          </cell>
        </row>
        <row r="17">
          <cell r="A17" t="str">
            <v>Market Consensus</v>
          </cell>
        </row>
        <row r="19">
          <cell r="A19" t="str">
            <v>52 week range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lobaldata.com/company-profile/facebook-inc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2E36-274D-4838-94F2-4D638E36C945}">
  <dimension ref="A1:X53"/>
  <sheetViews>
    <sheetView showGridLines="0" tabSelected="1" zoomScaleNormal="85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C1" sqref="C1"/>
    </sheetView>
  </sheetViews>
  <sheetFormatPr defaultRowHeight="15" x14ac:dyDescent="0.25"/>
  <cols>
    <col min="1" max="1" width="39" customWidth="1"/>
    <col min="2" max="2" width="3.85546875" customWidth="1"/>
    <col min="3" max="3" width="14.28515625" bestFit="1" customWidth="1"/>
    <col min="4" max="4" width="12.5703125" bestFit="1" customWidth="1"/>
    <col min="5" max="6" width="12" bestFit="1" customWidth="1"/>
    <col min="7" max="7" width="12.140625" bestFit="1" customWidth="1"/>
    <col min="8" max="8" width="12.5703125" bestFit="1" customWidth="1"/>
    <col min="9" max="13" width="12.140625" bestFit="1" customWidth="1"/>
  </cols>
  <sheetData>
    <row r="1" spans="1:22" x14ac:dyDescent="0.25">
      <c r="A1" s="208" t="s">
        <v>88</v>
      </c>
    </row>
    <row r="2" spans="1:22" x14ac:dyDescent="0.25">
      <c r="A2" t="s">
        <v>16</v>
      </c>
      <c r="C2" s="6" t="s">
        <v>33</v>
      </c>
      <c r="D2" s="66">
        <f>DATE(2025,1,13)</f>
        <v>45670</v>
      </c>
    </row>
    <row r="3" spans="1:22" x14ac:dyDescent="0.25">
      <c r="C3" s="650"/>
      <c r="D3" s="652" t="s">
        <v>328</v>
      </c>
      <c r="E3" s="651"/>
      <c r="F3" s="651"/>
      <c r="G3" s="651"/>
      <c r="H3" s="653"/>
      <c r="I3" s="654" t="s">
        <v>329</v>
      </c>
      <c r="J3" s="653"/>
      <c r="K3" s="653"/>
      <c r="L3" s="653"/>
    </row>
    <row r="4" spans="1:22" x14ac:dyDescent="0.25">
      <c r="A4" s="67" t="s">
        <v>7</v>
      </c>
      <c r="B4" s="7"/>
      <c r="C4" s="59" t="s">
        <v>8</v>
      </c>
      <c r="D4" s="59" t="s">
        <v>8</v>
      </c>
      <c r="E4" s="59" t="s">
        <v>8</v>
      </c>
      <c r="F4" s="59" t="s">
        <v>8</v>
      </c>
      <c r="G4" s="59" t="s">
        <v>8</v>
      </c>
      <c r="H4" s="68" t="s">
        <v>8</v>
      </c>
      <c r="I4" s="68" t="s">
        <v>8</v>
      </c>
      <c r="J4" s="68" t="s">
        <v>8</v>
      </c>
      <c r="K4" s="68" t="s">
        <v>8</v>
      </c>
      <c r="L4" s="68" t="s">
        <v>8</v>
      </c>
      <c r="M4" s="83"/>
    </row>
    <row r="5" spans="1:22" x14ac:dyDescent="0.25">
      <c r="A5" s="56"/>
      <c r="B5" s="7"/>
      <c r="C5" s="10" t="s">
        <v>3</v>
      </c>
      <c r="D5" s="10" t="s">
        <v>4</v>
      </c>
      <c r="E5" s="10" t="s">
        <v>5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41</v>
      </c>
      <c r="L5" s="10" t="s">
        <v>42</v>
      </c>
      <c r="M5" s="10"/>
    </row>
    <row r="6" spans="1:22" x14ac:dyDescent="0.25">
      <c r="H6" s="70"/>
      <c r="I6" s="70"/>
      <c r="J6" s="70"/>
      <c r="K6" s="70"/>
      <c r="L6" s="70"/>
      <c r="M6" s="70"/>
    </row>
    <row r="7" spans="1:22" x14ac:dyDescent="0.25">
      <c r="A7" s="132" t="s">
        <v>85</v>
      </c>
      <c r="C7" s="13">
        <v>168635</v>
      </c>
      <c r="D7" s="13">
        <v>237529</v>
      </c>
      <c r="E7" s="13">
        <v>253528</v>
      </c>
      <c r="F7" s="13">
        <v>272543</v>
      </c>
      <c r="G7" s="13">
        <v>304930</v>
      </c>
      <c r="H7" s="16">
        <f>G7*(1+$G$9)</f>
        <v>355985.14198208781</v>
      </c>
      <c r="I7" s="16">
        <f t="shared" ref="I7:L7" si="0">H7*(1+$G$9)</f>
        <v>415588.56561180338</v>
      </c>
      <c r="J7" s="16">
        <f t="shared" si="0"/>
        <v>485171.52964762412</v>
      </c>
      <c r="K7" s="16">
        <f t="shared" si="0"/>
        <v>566404.93184427964</v>
      </c>
      <c r="L7" s="16">
        <f t="shared" si="0"/>
        <v>661239.43226950662</v>
      </c>
      <c r="M7" s="16"/>
      <c r="N7" s="13"/>
      <c r="O7" s="13"/>
      <c r="P7" s="13"/>
      <c r="Q7" s="13"/>
      <c r="R7" s="13"/>
      <c r="S7" s="13"/>
      <c r="T7" s="13"/>
      <c r="U7" s="13"/>
      <c r="V7" s="13"/>
    </row>
    <row r="8" spans="1:22" x14ac:dyDescent="0.25">
      <c r="A8" s="133" t="s">
        <v>68</v>
      </c>
      <c r="C8" s="13"/>
      <c r="D8" s="135">
        <f>D7/C7-1</f>
        <v>0.40853915260770313</v>
      </c>
      <c r="E8" s="135">
        <f t="shared" ref="E8:G8" si="1">E7/D7-1</f>
        <v>6.7355986005919188E-2</v>
      </c>
      <c r="F8" s="135">
        <f t="shared" si="1"/>
        <v>7.5001577735003711E-2</v>
      </c>
      <c r="G8" s="135">
        <f t="shared" si="1"/>
        <v>0.11883262457667221</v>
      </c>
      <c r="H8" s="16"/>
      <c r="I8" s="16"/>
      <c r="J8" s="16"/>
      <c r="K8" s="16"/>
      <c r="L8" s="16"/>
      <c r="M8" s="16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25">
      <c r="A9" s="133"/>
      <c r="C9" s="13"/>
      <c r="D9" s="13"/>
      <c r="E9" s="13"/>
      <c r="F9" s="13"/>
      <c r="G9" s="172">
        <f>AVERAGE(D8:G8)</f>
        <v>0.16743233523132456</v>
      </c>
      <c r="H9" s="16"/>
      <c r="I9" s="16"/>
      <c r="J9" s="16"/>
      <c r="K9" s="16"/>
      <c r="L9" s="16"/>
      <c r="M9" s="16"/>
      <c r="N9" s="13"/>
      <c r="O9" s="13"/>
      <c r="P9" s="13"/>
      <c r="Q9" s="13"/>
      <c r="R9" s="13"/>
      <c r="S9" s="13"/>
      <c r="T9" s="13"/>
      <c r="U9" s="13"/>
      <c r="V9" s="13"/>
    </row>
    <row r="10" spans="1:22" x14ac:dyDescent="0.25">
      <c r="A10" s="133"/>
      <c r="C10" s="13"/>
      <c r="D10" s="13"/>
      <c r="E10" s="13"/>
      <c r="F10" s="13"/>
      <c r="G10" s="207"/>
      <c r="H10" s="16"/>
      <c r="I10" s="16"/>
      <c r="J10" s="16"/>
      <c r="K10" s="16"/>
      <c r="L10" s="16"/>
      <c r="M10" s="16"/>
      <c r="N10" s="13"/>
      <c r="O10" s="13"/>
      <c r="P10" s="13"/>
      <c r="Q10" s="13"/>
      <c r="R10" s="13"/>
      <c r="S10" s="13"/>
      <c r="T10" s="13"/>
      <c r="U10" s="13"/>
      <c r="V10" s="13"/>
    </row>
    <row r="11" spans="1:22" x14ac:dyDescent="0.25">
      <c r="A11" s="132" t="s">
        <v>86</v>
      </c>
      <c r="C11" s="171">
        <v>13059</v>
      </c>
      <c r="D11" s="171">
        <v>19206</v>
      </c>
      <c r="E11" s="171">
        <v>26280</v>
      </c>
      <c r="F11" s="171">
        <v>33088</v>
      </c>
      <c r="G11" s="171">
        <v>43229</v>
      </c>
      <c r="H11" s="201">
        <f>G11*(1+$G$13)</f>
        <v>58408.585669844491</v>
      </c>
      <c r="I11" s="201">
        <f t="shared" ref="I11:L11" si="2">H11*(1+$G$13)</f>
        <v>78918.385342051944</v>
      </c>
      <c r="J11" s="201">
        <f t="shared" si="2"/>
        <v>106630.06942508595</v>
      </c>
      <c r="K11" s="201">
        <f t="shared" si="2"/>
        <v>144072.53336872466</v>
      </c>
      <c r="L11" s="201">
        <f t="shared" si="2"/>
        <v>194662.67801565345</v>
      </c>
    </row>
    <row r="12" spans="1:22" s="14" customFormat="1" x14ac:dyDescent="0.25">
      <c r="A12" s="133" t="s">
        <v>68</v>
      </c>
      <c r="C12" s="13"/>
      <c r="D12" s="126">
        <f>D11/C11-1</f>
        <v>0.47070985527222597</v>
      </c>
      <c r="E12" s="126">
        <f t="shared" ref="E12:G12" si="3">E11/D11-1</f>
        <v>0.36832239925023424</v>
      </c>
      <c r="F12" s="126">
        <f t="shared" si="3"/>
        <v>0.25905631659056327</v>
      </c>
      <c r="G12" s="126">
        <f t="shared" si="3"/>
        <v>0.30648573500967125</v>
      </c>
      <c r="H12" s="137"/>
      <c r="I12" s="137"/>
      <c r="J12" s="137"/>
      <c r="K12" s="137"/>
      <c r="L12" s="137"/>
      <c r="M12" s="137"/>
      <c r="N12" s="15"/>
      <c r="O12" s="15"/>
      <c r="P12" s="15"/>
      <c r="Q12" s="15"/>
      <c r="R12" s="15"/>
      <c r="S12" s="15"/>
      <c r="T12" s="15"/>
      <c r="U12" s="15"/>
      <c r="V12" s="15"/>
    </row>
    <row r="13" spans="1:22" s="14" customFormat="1" x14ac:dyDescent="0.25">
      <c r="A13" s="133"/>
      <c r="C13" s="13"/>
      <c r="D13" s="126"/>
      <c r="E13" s="126"/>
      <c r="F13" s="126"/>
      <c r="G13" s="204">
        <f>AVERAGE(D12:G12)</f>
        <v>0.35114357653067368</v>
      </c>
      <c r="H13" s="137"/>
      <c r="I13" s="137"/>
      <c r="J13" s="137"/>
      <c r="K13" s="137"/>
      <c r="L13" s="137"/>
      <c r="M13" s="137"/>
      <c r="N13" s="15"/>
      <c r="O13" s="15"/>
      <c r="P13" s="15"/>
      <c r="Q13" s="15"/>
      <c r="R13" s="15"/>
      <c r="S13" s="15"/>
      <c r="T13" s="15"/>
      <c r="U13" s="15"/>
      <c r="V13" s="15"/>
    </row>
    <row r="14" spans="1:22" s="14" customFormat="1" x14ac:dyDescent="0.25">
      <c r="C14" s="15"/>
      <c r="D14" s="15"/>
      <c r="E14" s="15"/>
      <c r="F14" s="15"/>
      <c r="G14" s="15"/>
      <c r="H14" s="17"/>
      <c r="I14" s="17"/>
      <c r="J14" s="17"/>
      <c r="K14" s="17"/>
      <c r="L14" s="17"/>
      <c r="M14" s="70"/>
      <c r="N14" s="15"/>
      <c r="O14" s="15"/>
      <c r="P14" s="15"/>
      <c r="Q14" s="15"/>
      <c r="R14" s="15"/>
      <c r="S14" s="15"/>
      <c r="T14" s="15"/>
      <c r="U14" s="15"/>
      <c r="V14" s="15"/>
    </row>
    <row r="15" spans="1:22" s="14" customFormat="1" x14ac:dyDescent="0.25">
      <c r="A15" s="132" t="s">
        <v>87</v>
      </c>
      <c r="C15" s="200">
        <v>657</v>
      </c>
      <c r="D15" s="200">
        <v>753</v>
      </c>
      <c r="E15" s="200">
        <v>1068</v>
      </c>
      <c r="F15" s="200">
        <v>1527</v>
      </c>
      <c r="G15" s="206">
        <v>1648</v>
      </c>
      <c r="H15" s="202">
        <f>G15*(1+$G$17)</f>
        <v>2090.2659468831525</v>
      </c>
      <c r="I15" s="202">
        <f t="shared" ref="I15:L15" si="4">H15*(1+$G$17)</f>
        <v>2651.2207091622099</v>
      </c>
      <c r="J15" s="202">
        <f t="shared" si="4"/>
        <v>3362.7162415249813</v>
      </c>
      <c r="K15" s="202">
        <f t="shared" si="4"/>
        <v>4265.1524567297147</v>
      </c>
      <c r="L15" s="202">
        <f t="shared" si="4"/>
        <v>5409.771200586857</v>
      </c>
      <c r="M15" s="203"/>
      <c r="N15" s="15"/>
      <c r="O15" s="15"/>
      <c r="P15" s="15"/>
      <c r="Q15" s="15"/>
      <c r="R15" s="15"/>
      <c r="S15" s="15"/>
      <c r="T15" s="15"/>
      <c r="U15" s="15"/>
      <c r="V15" s="15"/>
    </row>
    <row r="16" spans="1:22" x14ac:dyDescent="0.25">
      <c r="A16" s="133" t="s">
        <v>68</v>
      </c>
      <c r="D16" s="15">
        <f>D15/C15-1</f>
        <v>0.14611872146118721</v>
      </c>
      <c r="E16" s="15">
        <f t="shared" ref="E16:G16" si="5">E15/D15-1</f>
        <v>0.41832669322709171</v>
      </c>
      <c r="F16" s="15">
        <f t="shared" si="5"/>
        <v>0.4297752808988764</v>
      </c>
      <c r="G16" s="15">
        <f t="shared" si="5"/>
        <v>7.9240340537000575E-2</v>
      </c>
      <c r="H16" s="70"/>
      <c r="I16" s="17"/>
      <c r="J16" s="70"/>
      <c r="K16" s="70"/>
      <c r="L16" s="70"/>
      <c r="M16" s="70"/>
    </row>
    <row r="17" spans="1:24" x14ac:dyDescent="0.25">
      <c r="A17" s="133"/>
      <c r="D17" s="15"/>
      <c r="E17" s="15"/>
      <c r="F17" s="15"/>
      <c r="G17" s="205">
        <f>AVERAGE(D16:G16)</f>
        <v>0.26836525903103897</v>
      </c>
      <c r="H17" s="70"/>
      <c r="I17" s="17"/>
      <c r="J17" s="70"/>
      <c r="K17" s="70"/>
      <c r="L17" s="70"/>
      <c r="M17" s="70"/>
    </row>
    <row r="18" spans="1:24" x14ac:dyDescent="0.25">
      <c r="B18" s="14"/>
      <c r="C18" s="13"/>
      <c r="D18" s="13"/>
      <c r="E18" s="13"/>
      <c r="F18" s="13"/>
      <c r="G18" s="13"/>
      <c r="H18" s="16"/>
      <c r="I18" s="16"/>
      <c r="J18" s="16"/>
      <c r="K18" s="16"/>
      <c r="L18" s="16"/>
      <c r="M18" s="16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s="14" customFormat="1" x14ac:dyDescent="0.25">
      <c r="A19" s="132" t="s">
        <v>69</v>
      </c>
      <c r="C19" s="171">
        <v>176</v>
      </c>
      <c r="D19" s="171">
        <v>149</v>
      </c>
      <c r="E19" s="171">
        <v>1960</v>
      </c>
      <c r="F19" s="171">
        <v>236</v>
      </c>
      <c r="G19" s="171">
        <v>211</v>
      </c>
      <c r="H19" s="202">
        <f>G19*(1+$G$21)</f>
        <v>792.06389478764117</v>
      </c>
      <c r="I19" s="202">
        <f t="shared" ref="I19:L19" si="6">H19*(1+$G$21)</f>
        <v>2973.2948503609837</v>
      </c>
      <c r="J19" s="202">
        <f t="shared" si="6"/>
        <v>11161.324642317335</v>
      </c>
      <c r="K19" s="202">
        <f t="shared" si="6"/>
        <v>41898.020223616797</v>
      </c>
      <c r="L19" s="202">
        <f t="shared" si="6"/>
        <v>157279.18996307714</v>
      </c>
      <c r="M19" s="70"/>
      <c r="N19" s="15"/>
      <c r="O19" s="15"/>
      <c r="P19" s="15"/>
      <c r="Q19" s="15"/>
      <c r="R19" s="15"/>
      <c r="S19" s="15"/>
      <c r="T19" s="15"/>
      <c r="U19" s="15"/>
      <c r="V19" s="15"/>
    </row>
    <row r="20" spans="1:24" s="14" customFormat="1" x14ac:dyDescent="0.25">
      <c r="A20" s="133" t="s">
        <v>68</v>
      </c>
      <c r="C20" s="102"/>
      <c r="D20" s="134">
        <f>D19/C19-1</f>
        <v>-0.15340909090909094</v>
      </c>
      <c r="E20" s="134">
        <f t="shared" ref="E20:G20" si="7">E19/D19-1</f>
        <v>12.154362416107382</v>
      </c>
      <c r="F20" s="134">
        <f t="shared" si="7"/>
        <v>-0.87959183673469388</v>
      </c>
      <c r="G20" s="134">
        <f t="shared" si="7"/>
        <v>-0.10593220338983056</v>
      </c>
      <c r="H20" s="17"/>
      <c r="I20" s="17"/>
      <c r="J20" s="17"/>
      <c r="K20" s="17"/>
      <c r="L20" s="17"/>
      <c r="M20" s="70"/>
      <c r="N20" s="15"/>
      <c r="O20" s="15"/>
      <c r="P20" s="15"/>
      <c r="Q20" s="15"/>
      <c r="R20" s="15"/>
      <c r="S20" s="15"/>
      <c r="T20" s="15"/>
      <c r="U20" s="15"/>
      <c r="V20" s="15"/>
    </row>
    <row r="21" spans="1:24" s="14" customFormat="1" x14ac:dyDescent="0.25">
      <c r="A21" s="133"/>
      <c r="C21" s="102"/>
      <c r="D21" s="134"/>
      <c r="E21" s="134"/>
      <c r="F21" s="134"/>
      <c r="G21" s="173">
        <f>AVERAGE(D20:G20)</f>
        <v>2.7538573212684416</v>
      </c>
      <c r="H21" s="17"/>
      <c r="I21" s="17"/>
      <c r="J21" s="17"/>
      <c r="K21" s="17"/>
      <c r="L21" s="17"/>
      <c r="M21" s="70"/>
      <c r="N21" s="15"/>
      <c r="O21" s="15"/>
      <c r="P21" s="15"/>
      <c r="Q21" s="15"/>
      <c r="R21" s="15"/>
      <c r="S21" s="15"/>
      <c r="T21" s="15"/>
      <c r="U21" s="15"/>
      <c r="V21" s="15"/>
    </row>
    <row r="22" spans="1:24" s="14" customFormat="1" x14ac:dyDescent="0.25">
      <c r="A22" s="6"/>
      <c r="C22" s="15"/>
      <c r="D22" s="15"/>
      <c r="E22" s="15"/>
      <c r="F22" s="15"/>
      <c r="G22" s="102"/>
      <c r="H22" s="17"/>
      <c r="I22" s="17"/>
      <c r="J22" s="17"/>
      <c r="K22" s="17"/>
      <c r="L22" s="17"/>
      <c r="M22" s="70"/>
      <c r="N22" s="15"/>
      <c r="O22" s="15"/>
      <c r="P22" s="15"/>
      <c r="Q22" s="15"/>
      <c r="R22" s="15"/>
      <c r="S22" s="15"/>
      <c r="T22" s="15"/>
      <c r="U22" s="15"/>
      <c r="V22" s="15"/>
    </row>
    <row r="23" spans="1:24" ht="15.75" thickBot="1" x14ac:dyDescent="0.3">
      <c r="A23" s="72" t="s">
        <v>70</v>
      </c>
      <c r="B23" s="14"/>
      <c r="C23" s="138">
        <f>SUM(C7,C11,C15,C19)</f>
        <v>182527</v>
      </c>
      <c r="D23" s="138">
        <f t="shared" ref="D23:M23" si="8">SUM(D7,D11,D15,D19)</f>
        <v>257637</v>
      </c>
      <c r="E23" s="138">
        <f t="shared" si="8"/>
        <v>282836</v>
      </c>
      <c r="F23" s="138">
        <f t="shared" si="8"/>
        <v>307394</v>
      </c>
      <c r="G23" s="138">
        <f t="shared" si="8"/>
        <v>350018</v>
      </c>
      <c r="H23" s="138">
        <f t="shared" si="8"/>
        <v>417276.05749360303</v>
      </c>
      <c r="I23" s="138">
        <f t="shared" si="8"/>
        <v>500131.46651337849</v>
      </c>
      <c r="J23" s="138">
        <f t="shared" si="8"/>
        <v>606325.63995655242</v>
      </c>
      <c r="K23" s="138">
        <f t="shared" si="8"/>
        <v>756640.63789335079</v>
      </c>
      <c r="L23" s="138">
        <f t="shared" si="8"/>
        <v>1018591.0714488241</v>
      </c>
      <c r="M23" s="138">
        <f t="shared" si="8"/>
        <v>0</v>
      </c>
    </row>
    <row r="24" spans="1:24" ht="15.75" thickTop="1" x14ac:dyDescent="0.25">
      <c r="A24" s="133" t="s">
        <v>68</v>
      </c>
      <c r="B24" s="14"/>
      <c r="C24" s="119"/>
      <c r="D24" s="136">
        <f>D23/C23-1</f>
        <v>0.41150076427049154</v>
      </c>
      <c r="E24" s="136">
        <f t="shared" ref="E24:L24" si="9">E23/D23-1</f>
        <v>9.7808156437157789E-2</v>
      </c>
      <c r="F24" s="136">
        <f t="shared" si="9"/>
        <v>8.6827702272695095E-2</v>
      </c>
      <c r="G24" s="136">
        <f t="shared" si="9"/>
        <v>0.13866243322901561</v>
      </c>
      <c r="H24" s="136">
        <f t="shared" si="9"/>
        <v>0.1921559962447732</v>
      </c>
      <c r="I24" s="136">
        <f t="shared" si="9"/>
        <v>0.19856257633723851</v>
      </c>
      <c r="J24" s="136">
        <f t="shared" si="9"/>
        <v>0.21233251765480188</v>
      </c>
      <c r="K24" s="136">
        <f t="shared" si="9"/>
        <v>0.24791133349988215</v>
      </c>
      <c r="L24" s="136">
        <f t="shared" si="9"/>
        <v>0.34620190938303197</v>
      </c>
      <c r="M24" s="16"/>
      <c r="N24" s="13"/>
      <c r="O24" s="13"/>
      <c r="P24" s="13"/>
      <c r="Q24" s="13"/>
      <c r="R24" s="13"/>
      <c r="S24" s="13"/>
      <c r="T24" s="13"/>
      <c r="U24" s="13"/>
      <c r="V24" s="13"/>
    </row>
    <row r="25" spans="1:24" x14ac:dyDescent="0.25">
      <c r="A25" s="133"/>
      <c r="B25" s="14"/>
      <c r="C25" s="119"/>
      <c r="D25" s="119"/>
      <c r="E25" s="119"/>
      <c r="F25" s="119"/>
      <c r="G25" s="173"/>
      <c r="H25" s="16"/>
      <c r="I25" s="16"/>
      <c r="J25" s="16"/>
      <c r="K25" s="16"/>
      <c r="L25" s="16"/>
      <c r="M25" s="16"/>
      <c r="N25" s="13"/>
      <c r="O25" s="13"/>
      <c r="P25" s="13"/>
      <c r="Q25" s="13"/>
      <c r="R25" s="13"/>
      <c r="S25" s="13"/>
      <c r="T25" s="13"/>
      <c r="U25" s="13"/>
      <c r="V25" s="13"/>
    </row>
    <row r="26" spans="1:24" s="14" customFormat="1" x14ac:dyDescent="0.25">
      <c r="A26" s="74"/>
      <c r="C26" s="102"/>
      <c r="D26" s="102"/>
      <c r="E26" s="102"/>
      <c r="F26" s="102"/>
      <c r="G26" s="102"/>
      <c r="H26" s="17"/>
      <c r="I26" s="17"/>
      <c r="J26" s="17"/>
      <c r="K26" s="17"/>
      <c r="L26" s="17"/>
      <c r="M26" s="70"/>
      <c r="N26" s="15"/>
      <c r="O26" s="15"/>
    </row>
    <row r="27" spans="1:24" s="14" customFormat="1" x14ac:dyDescent="0.25">
      <c r="C27" s="13"/>
      <c r="D27" s="13"/>
      <c r="E27" s="13"/>
      <c r="F27" s="13"/>
      <c r="G27" s="13"/>
      <c r="H27" s="137"/>
      <c r="I27" s="137"/>
      <c r="J27" s="137"/>
      <c r="K27" s="137"/>
      <c r="L27" s="137"/>
      <c r="M27" s="137"/>
      <c r="N27" s="15"/>
      <c r="O27" s="15"/>
    </row>
    <row r="28" spans="1:24" s="14" customFormat="1" x14ac:dyDescent="0.25">
      <c r="C28" s="119"/>
      <c r="D28" s="136"/>
      <c r="E28" s="136"/>
      <c r="F28" s="136"/>
      <c r="G28" s="136"/>
      <c r="H28" s="17"/>
      <c r="I28" s="17"/>
      <c r="J28" s="17"/>
      <c r="K28" s="17"/>
      <c r="L28" s="17"/>
      <c r="M28" s="70"/>
      <c r="N28" s="15"/>
      <c r="O28" s="15"/>
    </row>
    <row r="29" spans="1:24" x14ac:dyDescent="0.25">
      <c r="A29" s="6"/>
      <c r="B29" s="6"/>
      <c r="C29" s="125"/>
      <c r="D29" s="125"/>
      <c r="E29" s="125"/>
      <c r="F29" s="125"/>
      <c r="G29" s="173"/>
      <c r="H29" s="125"/>
      <c r="I29" s="125"/>
      <c r="J29" s="125"/>
      <c r="K29" s="125"/>
      <c r="L29" s="125"/>
      <c r="M29" s="125"/>
    </row>
    <row r="30" spans="1:24" x14ac:dyDescent="0.25">
      <c r="A30" s="71"/>
      <c r="C30" s="13"/>
      <c r="D30" s="126"/>
      <c r="E30" s="126"/>
      <c r="F30" s="126"/>
      <c r="G30" s="126"/>
      <c r="H30" s="16"/>
      <c r="I30" s="17"/>
      <c r="J30" s="16"/>
      <c r="K30" s="16"/>
      <c r="L30" s="16"/>
      <c r="M30" s="70"/>
      <c r="N30" s="13"/>
      <c r="O30" s="13"/>
      <c r="P30" s="13"/>
      <c r="Q30" s="13"/>
      <c r="R30" s="13"/>
    </row>
    <row r="31" spans="1:24" s="14" customFormat="1" x14ac:dyDescent="0.25">
      <c r="N31" s="15"/>
      <c r="O31" s="15"/>
    </row>
    <row r="32" spans="1:24" s="14" customFormat="1" x14ac:dyDescent="0.25">
      <c r="A32" s="73"/>
      <c r="C32" s="15"/>
      <c r="D32" s="15"/>
      <c r="E32" s="15"/>
      <c r="F32" s="15"/>
      <c r="G32"/>
      <c r="H32" s="17"/>
      <c r="I32" s="17"/>
      <c r="J32" s="17"/>
      <c r="K32" s="17"/>
      <c r="L32" s="17"/>
      <c r="M32" s="70"/>
      <c r="N32" s="15"/>
      <c r="O32" s="15"/>
    </row>
    <row r="33" spans="1:24" x14ac:dyDescent="0.25">
      <c r="H33" s="70"/>
      <c r="I33" s="17"/>
      <c r="J33" s="70"/>
      <c r="K33" s="70"/>
      <c r="L33" s="70"/>
      <c r="M33" s="70"/>
    </row>
    <row r="34" spans="1:24" x14ac:dyDescent="0.25">
      <c r="A34" s="71"/>
      <c r="C34" s="13"/>
      <c r="D34" s="13"/>
      <c r="E34" s="13"/>
      <c r="F34" s="13"/>
      <c r="H34" s="16"/>
      <c r="I34" s="17"/>
      <c r="J34" s="16"/>
      <c r="K34" s="16"/>
      <c r="L34" s="16"/>
      <c r="M34" s="70"/>
      <c r="N34" s="13"/>
      <c r="O34" s="13"/>
      <c r="P34" s="13"/>
      <c r="Q34" s="13"/>
      <c r="R34" s="13"/>
    </row>
    <row r="35" spans="1:24" s="14" customFormat="1" x14ac:dyDescent="0.25">
      <c r="A35" s="72"/>
      <c r="C35" s="15"/>
      <c r="D35" s="15"/>
      <c r="E35" s="15"/>
      <c r="F35" s="15"/>
      <c r="G35"/>
      <c r="H35" s="17"/>
      <c r="I35" s="17"/>
      <c r="J35" s="17"/>
      <c r="K35" s="17"/>
      <c r="L35" s="17"/>
      <c r="M35" s="70"/>
      <c r="N35" s="15"/>
      <c r="O35" s="15"/>
      <c r="P35" s="15"/>
      <c r="Q35" s="15"/>
      <c r="R35" s="15"/>
      <c r="S35" s="15"/>
      <c r="T35" s="15"/>
      <c r="U35" s="15"/>
      <c r="V35" s="15"/>
    </row>
    <row r="36" spans="1:24" s="14" customFormat="1" x14ac:dyDescent="0.25">
      <c r="A36" s="73"/>
      <c r="C36" s="15"/>
      <c r="D36" s="15"/>
      <c r="E36" s="15"/>
      <c r="F36" s="15"/>
      <c r="G36"/>
      <c r="H36" s="17"/>
      <c r="I36" s="17"/>
      <c r="J36" s="17"/>
      <c r="K36" s="17"/>
      <c r="L36" s="17"/>
      <c r="M36" s="70"/>
      <c r="N36" s="15"/>
      <c r="O36" s="15"/>
      <c r="P36" s="15"/>
      <c r="Q36" s="15"/>
      <c r="R36" s="15"/>
      <c r="S36" s="15"/>
      <c r="T36" s="15"/>
      <c r="U36" s="15"/>
      <c r="V36" s="15"/>
    </row>
    <row r="37" spans="1:24" x14ac:dyDescent="0.25">
      <c r="H37" s="70"/>
      <c r="I37" s="17"/>
      <c r="J37" s="70"/>
      <c r="K37" s="70"/>
      <c r="L37" s="70"/>
      <c r="M37" s="70"/>
    </row>
    <row r="38" spans="1:24" x14ac:dyDescent="0.25">
      <c r="A38" s="71"/>
      <c r="C38" s="13"/>
      <c r="D38" s="13"/>
      <c r="E38" s="13"/>
      <c r="F38" s="13"/>
      <c r="H38" s="16"/>
      <c r="I38" s="17"/>
      <c r="J38" s="16"/>
      <c r="K38" s="16"/>
      <c r="L38" s="16"/>
      <c r="M38" s="70"/>
      <c r="N38" s="13"/>
      <c r="O38" s="13"/>
      <c r="P38" s="13"/>
      <c r="Q38" s="13"/>
      <c r="R38" s="13"/>
      <c r="S38" s="13"/>
      <c r="T38" s="13"/>
      <c r="U38" s="13"/>
      <c r="V38" s="13"/>
    </row>
    <row r="39" spans="1:24" s="14" customFormat="1" x14ac:dyDescent="0.25">
      <c r="A39" s="72"/>
      <c r="C39" s="15"/>
      <c r="D39" s="15"/>
      <c r="E39" s="15"/>
      <c r="F39" s="15"/>
      <c r="G39"/>
      <c r="H39" s="17"/>
      <c r="I39" s="17"/>
      <c r="J39" s="17"/>
      <c r="K39" s="17"/>
      <c r="L39" s="17"/>
      <c r="M39" s="70"/>
      <c r="N39" s="15"/>
      <c r="O39" s="15"/>
      <c r="P39" s="15"/>
      <c r="Q39" s="15"/>
      <c r="R39" s="15"/>
      <c r="S39" s="15"/>
      <c r="T39" s="15"/>
      <c r="U39" s="15"/>
    </row>
    <row r="40" spans="1:24" s="14" customFormat="1" x14ac:dyDescent="0.25">
      <c r="A40" s="73"/>
      <c r="C40" s="15"/>
      <c r="D40" s="15"/>
      <c r="E40" s="15"/>
      <c r="F40" s="15"/>
      <c r="G40"/>
      <c r="H40" s="17"/>
      <c r="I40" s="17"/>
      <c r="J40" s="17"/>
      <c r="K40" s="17"/>
      <c r="L40" s="17"/>
      <c r="M40" s="70"/>
      <c r="N40" s="15"/>
      <c r="O40" s="15"/>
      <c r="P40" s="15"/>
      <c r="Q40" s="15"/>
      <c r="R40" s="15"/>
      <c r="S40" s="15"/>
      <c r="T40" s="15"/>
      <c r="U40" s="15"/>
    </row>
    <row r="41" spans="1:24" x14ac:dyDescent="0.25">
      <c r="H41" s="70"/>
      <c r="I41" s="17"/>
      <c r="J41" s="70"/>
      <c r="K41" s="70"/>
      <c r="L41" s="70"/>
      <c r="M41" s="70"/>
    </row>
    <row r="42" spans="1:24" x14ac:dyDescent="0.25">
      <c r="A42" s="71"/>
      <c r="C42" s="13"/>
      <c r="D42" s="13"/>
      <c r="E42" s="13"/>
      <c r="F42" s="13"/>
      <c r="H42" s="16"/>
      <c r="I42" s="17"/>
      <c r="J42" s="16"/>
      <c r="K42" s="16"/>
      <c r="L42" s="16"/>
      <c r="M42" s="70"/>
      <c r="N42" s="13"/>
      <c r="O42" s="13"/>
      <c r="P42" s="13"/>
      <c r="Q42" s="13"/>
      <c r="R42" s="13"/>
      <c r="S42" s="13"/>
      <c r="T42" s="13"/>
    </row>
    <row r="43" spans="1:24" s="14" customFormat="1" x14ac:dyDescent="0.25">
      <c r="A43" s="72"/>
      <c r="C43" s="15"/>
      <c r="D43" s="15"/>
      <c r="E43" s="15"/>
      <c r="F43" s="15"/>
      <c r="G43"/>
      <c r="H43" s="17"/>
      <c r="I43" s="17"/>
      <c r="J43" s="17"/>
      <c r="K43" s="17"/>
      <c r="L43" s="17"/>
      <c r="M43" s="70"/>
      <c r="N43" s="15"/>
      <c r="O43" s="15"/>
      <c r="P43" s="15"/>
      <c r="Q43" s="15"/>
      <c r="R43" s="15"/>
      <c r="S43" s="15"/>
      <c r="T43" s="15"/>
      <c r="U43" s="15"/>
      <c r="V43" s="15"/>
    </row>
    <row r="44" spans="1:24" s="14" customFormat="1" x14ac:dyDescent="0.25">
      <c r="A44" s="73"/>
      <c r="C44" s="15"/>
      <c r="D44" s="15"/>
      <c r="E44" s="15"/>
      <c r="F44" s="15"/>
      <c r="G44"/>
      <c r="H44" s="17"/>
      <c r="I44" s="17"/>
      <c r="J44" s="17"/>
      <c r="K44" s="17"/>
      <c r="L44" s="17"/>
      <c r="M44" s="70"/>
      <c r="N44" s="15"/>
      <c r="O44" s="15"/>
      <c r="P44" s="15"/>
      <c r="Q44" s="15"/>
      <c r="R44" s="15"/>
      <c r="S44" s="15"/>
      <c r="T44" s="15"/>
      <c r="U44" s="15"/>
      <c r="V44" s="15"/>
    </row>
    <row r="45" spans="1:24" s="14" customFormat="1" x14ac:dyDescent="0.25">
      <c r="A45" s="73"/>
      <c r="C45" s="15"/>
      <c r="D45" s="15"/>
      <c r="E45" s="15"/>
      <c r="F45" s="15"/>
      <c r="G45"/>
      <c r="H45" s="17"/>
      <c r="I45" s="17"/>
      <c r="J45" s="17"/>
      <c r="K45" s="17"/>
      <c r="L45" s="17"/>
      <c r="M45" s="70"/>
      <c r="N45" s="15"/>
      <c r="O45" s="15"/>
      <c r="P45" s="15"/>
      <c r="Q45" s="15"/>
      <c r="R45" s="15"/>
      <c r="S45" s="15"/>
      <c r="T45" s="15"/>
      <c r="U45" s="15"/>
      <c r="V45" s="15"/>
    </row>
    <row r="46" spans="1:24" s="49" customFormat="1" x14ac:dyDescent="0.25">
      <c r="A46" s="74"/>
      <c r="C46" s="52"/>
      <c r="D46" s="52"/>
      <c r="E46" s="52"/>
      <c r="F46" s="52"/>
      <c r="G46" s="53"/>
      <c r="H46" s="54"/>
      <c r="I46" s="54"/>
      <c r="J46" s="54"/>
      <c r="K46" s="54"/>
      <c r="L46" s="54"/>
      <c r="M46" s="54"/>
      <c r="N46" s="50"/>
      <c r="O46" s="50"/>
      <c r="P46" s="50"/>
      <c r="Q46" s="50"/>
      <c r="R46" s="50"/>
      <c r="S46" s="50"/>
      <c r="T46" s="50"/>
      <c r="U46" s="50"/>
      <c r="V46" s="50"/>
    </row>
    <row r="47" spans="1:24" x14ac:dyDescent="0.25">
      <c r="G47" s="69"/>
      <c r="H47" s="70"/>
      <c r="I47" s="70"/>
      <c r="J47" s="70"/>
      <c r="K47" s="70"/>
      <c r="L47" s="70"/>
      <c r="M47" s="70"/>
    </row>
    <row r="48" spans="1:24" ht="13.15" customHeight="1" x14ac:dyDescent="0.25">
      <c r="A48" s="71"/>
      <c r="C48" s="75"/>
      <c r="D48" s="75"/>
      <c r="E48" s="75"/>
      <c r="F48" s="75"/>
      <c r="G48" s="69"/>
      <c r="H48" s="76"/>
      <c r="I48" s="76"/>
      <c r="J48" s="76"/>
      <c r="K48" s="76"/>
      <c r="L48" s="76"/>
      <c r="M48" s="70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</row>
    <row r="49" spans="1:13" s="14" customFormat="1" x14ac:dyDescent="0.25">
      <c r="A49" s="73"/>
      <c r="C49" s="15"/>
      <c r="D49" s="15"/>
      <c r="E49" s="15"/>
      <c r="F49" s="15"/>
      <c r="G49" s="19"/>
      <c r="H49" s="18"/>
      <c r="I49" s="19"/>
      <c r="J49" s="47"/>
      <c r="K49" s="47"/>
      <c r="L49" s="47"/>
      <c r="M49" s="70"/>
    </row>
    <row r="50" spans="1:13" x14ac:dyDescent="0.25">
      <c r="G50" s="69"/>
      <c r="H50" s="70"/>
      <c r="I50" s="70"/>
      <c r="J50" s="70"/>
      <c r="K50" s="70"/>
      <c r="L50" s="70"/>
      <c r="M50" s="70"/>
    </row>
    <row r="51" spans="1:13" s="6" customFormat="1" ht="15.75" thickBot="1" x14ac:dyDescent="0.3">
      <c r="A51" s="77"/>
      <c r="C51" s="51"/>
      <c r="D51" s="51"/>
      <c r="E51" s="51"/>
      <c r="F51" s="51"/>
      <c r="G51" s="78"/>
      <c r="H51" s="48"/>
      <c r="I51" s="48"/>
      <c r="J51" s="48"/>
      <c r="K51" s="48"/>
      <c r="L51" s="48"/>
      <c r="M51" s="48"/>
    </row>
    <row r="52" spans="1:13" s="14" customFormat="1" ht="15.75" thickTop="1" x14ac:dyDescent="0.25">
      <c r="D52" s="15"/>
      <c r="E52" s="15"/>
      <c r="F52" s="15"/>
      <c r="G52" s="79"/>
      <c r="H52" s="17"/>
      <c r="I52" s="17"/>
      <c r="J52" s="17"/>
      <c r="K52" s="17"/>
      <c r="L52" s="17"/>
      <c r="M52" s="70"/>
    </row>
    <row r="53" spans="1:13" ht="14.45" customHeight="1" x14ac:dyDescent="0.25">
      <c r="A53" s="80"/>
      <c r="C53" s="655"/>
      <c r="D53" s="656"/>
      <c r="E53" s="655"/>
      <c r="F53" s="656"/>
      <c r="G53" s="118"/>
      <c r="H53" s="657"/>
      <c r="I53" s="658"/>
      <c r="J53" s="658"/>
      <c r="K53" s="658"/>
      <c r="L53" s="659"/>
    </row>
  </sheetData>
  <mergeCells count="3">
    <mergeCell ref="C53:D53"/>
    <mergeCell ref="H53:L53"/>
    <mergeCell ref="E53:F53"/>
  </mergeCells>
  <phoneticPr fontId="4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E1CF-3899-4EF4-814E-11E894EB6FDD}">
  <dimension ref="A1:S109"/>
  <sheetViews>
    <sheetView showGridLines="0" workbookViewId="0">
      <pane xSplit="1" ySplit="5" topLeftCell="C6" activePane="bottomRight" state="frozen"/>
      <selection pane="topRight" activeCell="B1" sqref="B1"/>
      <selection pane="bottomLeft" activeCell="A5" sqref="A5"/>
      <selection pane="bottomRight" activeCell="C2" sqref="C2"/>
    </sheetView>
  </sheetViews>
  <sheetFormatPr defaultRowHeight="15" x14ac:dyDescent="0.25"/>
  <cols>
    <col min="1" max="1" width="60" bestFit="1" customWidth="1"/>
    <col min="2" max="2" width="14" customWidth="1"/>
    <col min="3" max="3" width="13.7109375" customWidth="1"/>
    <col min="4" max="4" width="12.28515625" customWidth="1"/>
    <col min="5" max="5" width="12.7109375" customWidth="1"/>
    <col min="6" max="6" width="13.5703125" customWidth="1"/>
    <col min="7" max="7" width="13.7109375" bestFit="1" customWidth="1"/>
    <col min="8" max="8" width="13.28515625" customWidth="1"/>
    <col min="9" max="9" width="13.42578125" customWidth="1"/>
    <col min="10" max="11" width="12.7109375" customWidth="1"/>
    <col min="12" max="12" width="13.42578125" customWidth="1"/>
    <col min="13" max="13" width="17.28515625" bestFit="1" customWidth="1"/>
    <col min="14" max="14" width="9.5703125" bestFit="1" customWidth="1"/>
  </cols>
  <sheetData>
    <row r="1" spans="1:14" x14ac:dyDescent="0.25">
      <c r="A1" s="208" t="s">
        <v>88</v>
      </c>
      <c r="B1" s="56"/>
      <c r="C1" s="56"/>
      <c r="D1" s="56"/>
      <c r="E1" s="81"/>
      <c r="F1" s="81"/>
      <c r="G1" s="81"/>
      <c r="H1" s="81"/>
      <c r="I1" s="82"/>
      <c r="J1" s="82"/>
      <c r="K1" s="82"/>
      <c r="L1" s="82"/>
      <c r="M1" s="82"/>
      <c r="N1" s="82"/>
    </row>
    <row r="2" spans="1:14" x14ac:dyDescent="0.25">
      <c r="A2" s="58" t="s">
        <v>14</v>
      </c>
      <c r="B2" s="81"/>
      <c r="C2" s="81"/>
      <c r="D2" s="81"/>
      <c r="E2" s="81"/>
      <c r="F2" s="81"/>
      <c r="G2" s="81"/>
      <c r="H2" s="81"/>
      <c r="I2" s="82"/>
      <c r="J2" s="82"/>
      <c r="K2" s="82"/>
      <c r="L2" s="82"/>
      <c r="M2" s="82"/>
      <c r="N2" s="82"/>
    </row>
    <row r="3" spans="1:14" x14ac:dyDescent="0.25">
      <c r="A3" s="58"/>
      <c r="B3" s="650"/>
      <c r="C3" s="652" t="s">
        <v>328</v>
      </c>
      <c r="D3" s="651"/>
      <c r="E3" s="651"/>
      <c r="F3" s="651"/>
      <c r="G3" s="653"/>
      <c r="H3" s="654" t="s">
        <v>329</v>
      </c>
      <c r="I3" s="653"/>
      <c r="J3" s="653"/>
      <c r="K3" s="653"/>
      <c r="L3" s="82"/>
      <c r="M3" s="82"/>
      <c r="N3" s="82"/>
    </row>
    <row r="4" spans="1:14" x14ac:dyDescent="0.25">
      <c r="A4" s="56" t="s">
        <v>15</v>
      </c>
      <c r="B4" s="59" t="s">
        <v>8</v>
      </c>
      <c r="C4" s="59" t="s">
        <v>8</v>
      </c>
      <c r="D4" s="59" t="s">
        <v>8</v>
      </c>
      <c r="E4" s="59" t="s">
        <v>8</v>
      </c>
      <c r="F4" s="59" t="s">
        <v>8</v>
      </c>
      <c r="G4" s="83" t="s">
        <v>8</v>
      </c>
      <c r="H4" s="83" t="s">
        <v>8</v>
      </c>
      <c r="I4" s="83" t="s">
        <v>8</v>
      </c>
      <c r="J4" s="83" t="s">
        <v>8</v>
      </c>
      <c r="K4" s="83" t="s">
        <v>8</v>
      </c>
      <c r="L4" s="83"/>
      <c r="M4" s="60"/>
      <c r="N4" s="60"/>
    </row>
    <row r="5" spans="1:14" ht="15" customHeight="1" x14ac:dyDescent="0.25">
      <c r="A5" s="61"/>
      <c r="B5" s="62" t="s">
        <v>3</v>
      </c>
      <c r="C5" s="62" t="s">
        <v>4</v>
      </c>
      <c r="D5" s="62" t="s">
        <v>5</v>
      </c>
      <c r="E5" s="62" t="s">
        <v>9</v>
      </c>
      <c r="F5" s="62" t="s">
        <v>10</v>
      </c>
      <c r="G5" s="62" t="s">
        <v>11</v>
      </c>
      <c r="H5" s="62" t="s">
        <v>12</v>
      </c>
      <c r="I5" s="62" t="s">
        <v>13</v>
      </c>
      <c r="J5" s="62" t="s">
        <v>41</v>
      </c>
      <c r="K5" s="62" t="s">
        <v>42</v>
      </c>
      <c r="L5" s="62"/>
      <c r="M5" s="63"/>
      <c r="N5" s="63"/>
    </row>
    <row r="6" spans="1:14" x14ac:dyDescent="0.25">
      <c r="G6" s="117"/>
      <c r="H6" s="117"/>
      <c r="I6" s="117"/>
      <c r="J6" s="117"/>
      <c r="K6" s="117"/>
      <c r="L6" s="117"/>
    </row>
    <row r="7" spans="1:14" s="6" customFormat="1" x14ac:dyDescent="0.25">
      <c r="A7" s="5" t="s">
        <v>89</v>
      </c>
      <c r="B7" s="22">
        <f>'Revenue Segments'!C23</f>
        <v>182527</v>
      </c>
      <c r="C7" s="22">
        <f>'Revenue Segments'!D23</f>
        <v>257637</v>
      </c>
      <c r="D7" s="22">
        <f>'Revenue Segments'!E23</f>
        <v>282836</v>
      </c>
      <c r="E7" s="22">
        <f>'Revenue Segments'!F23</f>
        <v>307394</v>
      </c>
      <c r="F7" s="22">
        <f>'Revenue Segments'!G23</f>
        <v>350018</v>
      </c>
      <c r="G7" s="22">
        <f>'Revenue Segments'!H23</f>
        <v>417276.05749360303</v>
      </c>
      <c r="H7" s="22">
        <f>'Revenue Segments'!I23</f>
        <v>500131.46651337849</v>
      </c>
      <c r="I7" s="22">
        <f>'Revenue Segments'!J23</f>
        <v>606325.63995655242</v>
      </c>
      <c r="J7" s="22">
        <f>'Revenue Segments'!K23</f>
        <v>756640.63789335079</v>
      </c>
      <c r="K7" s="22">
        <f>'Revenue Segments'!L23</f>
        <v>1018591.0714488241</v>
      </c>
      <c r="L7" s="22"/>
    </row>
    <row r="8" spans="1:14" s="28" customFormat="1" x14ac:dyDescent="0.25">
      <c r="A8" s="5" t="s">
        <v>90</v>
      </c>
      <c r="B8" s="122">
        <f>'Revenue Segments'!C24</f>
        <v>0</v>
      </c>
      <c r="C8" s="122">
        <f>'Revenue Segments'!D24</f>
        <v>0.41150076427049154</v>
      </c>
      <c r="D8" s="122">
        <f>'Revenue Segments'!E24</f>
        <v>9.7808156437157789E-2</v>
      </c>
      <c r="E8" s="122">
        <f>'Revenue Segments'!F24</f>
        <v>8.6827702272695095E-2</v>
      </c>
      <c r="F8" s="122">
        <f>'Revenue Segments'!G24</f>
        <v>0.13866243322901561</v>
      </c>
      <c r="G8" s="122">
        <f>'Revenue Segments'!H24</f>
        <v>0.1921559962447732</v>
      </c>
      <c r="H8" s="122">
        <f>'Revenue Segments'!I24</f>
        <v>0.19856257633723851</v>
      </c>
      <c r="I8" s="122">
        <f>'Revenue Segments'!J24</f>
        <v>0.21233251765480188</v>
      </c>
      <c r="J8" s="122">
        <f>'Revenue Segments'!K24</f>
        <v>0.24791133349988215</v>
      </c>
      <c r="K8" s="122">
        <f>'Revenue Segments'!L24</f>
        <v>0.34620190938303197</v>
      </c>
      <c r="L8" s="85"/>
    </row>
    <row r="9" spans="1:14" s="6" customFormat="1" x14ac:dyDescent="0.25">
      <c r="A9" s="5"/>
      <c r="B9" s="120"/>
      <c r="C9" s="120"/>
      <c r="D9" s="120"/>
      <c r="E9" s="120"/>
      <c r="F9" s="120"/>
      <c r="G9" s="123"/>
      <c r="H9" s="123"/>
      <c r="I9" s="123"/>
      <c r="J9" s="123"/>
      <c r="K9" s="123"/>
      <c r="L9" s="123"/>
    </row>
    <row r="10" spans="1:14" s="29" customFormat="1" ht="15.75" customHeight="1" x14ac:dyDescent="0.25">
      <c r="A10" s="209" t="s">
        <v>91</v>
      </c>
      <c r="B10" s="210">
        <v>84732</v>
      </c>
      <c r="C10" s="210">
        <v>110939</v>
      </c>
      <c r="D10" s="210">
        <v>126203</v>
      </c>
      <c r="E10" s="210">
        <v>133332</v>
      </c>
      <c r="F10" s="210">
        <v>146306</v>
      </c>
      <c r="G10" s="211">
        <f>G7*$B$57</f>
        <v>182997.99774092808</v>
      </c>
      <c r="H10" s="211">
        <f t="shared" ref="H10:K10" si="0">H7*$B$57</f>
        <v>219334.5516369229</v>
      </c>
      <c r="I10" s="211">
        <f t="shared" si="0"/>
        <v>265906.40919467789</v>
      </c>
      <c r="J10" s="211">
        <f t="shared" si="0"/>
        <v>331827.62168429582</v>
      </c>
      <c r="K10" s="211">
        <f t="shared" si="0"/>
        <v>446706.97789742943</v>
      </c>
      <c r="L10" s="124"/>
    </row>
    <row r="11" spans="1:14" s="6" customFormat="1" ht="18.75" customHeight="1" x14ac:dyDescent="0.25">
      <c r="A11" s="209" t="s">
        <v>92</v>
      </c>
      <c r="B11" s="212">
        <f>B10/B7</f>
        <v>0.46421625293792151</v>
      </c>
      <c r="C11" s="212">
        <f t="shared" ref="C11:F11" si="1">C10/C7</f>
        <v>0.43060197099019165</v>
      </c>
      <c r="D11" s="212">
        <f t="shared" si="1"/>
        <v>0.44620557496216889</v>
      </c>
      <c r="E11" s="212">
        <f t="shared" si="1"/>
        <v>0.4337495201597949</v>
      </c>
      <c r="F11" s="212">
        <f t="shared" si="1"/>
        <v>0.41799564593820887</v>
      </c>
      <c r="G11" s="85"/>
      <c r="H11" s="85"/>
      <c r="I11" s="85"/>
      <c r="J11" s="85"/>
      <c r="K11" s="85"/>
      <c r="L11" s="85"/>
    </row>
    <row r="12" spans="1:14" s="6" customFormat="1" ht="12" customHeight="1" x14ac:dyDescent="0.25">
      <c r="A12" s="209"/>
      <c r="B12" s="212"/>
      <c r="C12" s="212"/>
      <c r="D12" s="212"/>
      <c r="E12" s="212"/>
      <c r="F12" s="212"/>
      <c r="G12" s="85"/>
      <c r="H12" s="85"/>
      <c r="I12" s="85"/>
      <c r="J12" s="85"/>
      <c r="K12" s="85"/>
      <c r="L12" s="85"/>
    </row>
    <row r="13" spans="1:14" s="6" customFormat="1" x14ac:dyDescent="0.25">
      <c r="A13" s="5" t="s">
        <v>98</v>
      </c>
      <c r="B13" s="215">
        <f>B7-B10</f>
        <v>97795</v>
      </c>
      <c r="C13" s="215">
        <f t="shared" ref="C13:K13" si="2">C7-C10</f>
        <v>146698</v>
      </c>
      <c r="D13" s="215">
        <f t="shared" si="2"/>
        <v>156633</v>
      </c>
      <c r="E13" s="215">
        <f t="shared" si="2"/>
        <v>174062</v>
      </c>
      <c r="F13" s="215">
        <f t="shared" si="2"/>
        <v>203712</v>
      </c>
      <c r="G13" s="215">
        <f t="shared" si="2"/>
        <v>234278.05975267495</v>
      </c>
      <c r="H13" s="215">
        <f t="shared" si="2"/>
        <v>280796.91487645556</v>
      </c>
      <c r="I13" s="215">
        <f t="shared" si="2"/>
        <v>340419.23076187453</v>
      </c>
      <c r="J13" s="215">
        <f t="shared" si="2"/>
        <v>424813.01620905497</v>
      </c>
      <c r="K13" s="215">
        <f t="shared" si="2"/>
        <v>571884.09355139476</v>
      </c>
      <c r="L13" s="215"/>
    </row>
    <row r="14" spans="1:14" s="6" customFormat="1" x14ac:dyDescent="0.25">
      <c r="A14" s="5" t="s">
        <v>99</v>
      </c>
      <c r="B14" s="121">
        <f>B13/B7</f>
        <v>0.53578374706207854</v>
      </c>
      <c r="C14" s="121">
        <f t="shared" ref="C14:K14" si="3">C13/C7</f>
        <v>0.5693980290098084</v>
      </c>
      <c r="D14" s="121">
        <f t="shared" si="3"/>
        <v>0.55379442503783116</v>
      </c>
      <c r="E14" s="121">
        <f t="shared" si="3"/>
        <v>0.56625047984020505</v>
      </c>
      <c r="F14" s="121">
        <f t="shared" si="3"/>
        <v>0.58200435406179107</v>
      </c>
      <c r="G14" s="121">
        <f t="shared" si="3"/>
        <v>0.56144620700234282</v>
      </c>
      <c r="H14" s="121">
        <f t="shared" si="3"/>
        <v>0.56144620700234271</v>
      </c>
      <c r="I14" s="121">
        <f t="shared" si="3"/>
        <v>0.56144620700234282</v>
      </c>
      <c r="J14" s="121">
        <f t="shared" si="3"/>
        <v>0.56144620700234282</v>
      </c>
      <c r="K14" s="121">
        <f t="shared" si="3"/>
        <v>0.56144620700234293</v>
      </c>
      <c r="L14" s="42"/>
    </row>
    <row r="15" spans="1:14" x14ac:dyDescent="0.25">
      <c r="A15" s="139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</row>
    <row r="16" spans="1:14" s="6" customFormat="1" x14ac:dyDescent="0.25">
      <c r="A16" t="s">
        <v>100</v>
      </c>
      <c r="B16" s="24">
        <v>17946</v>
      </c>
      <c r="C16" s="24">
        <v>22912</v>
      </c>
      <c r="D16" s="24">
        <v>26567</v>
      </c>
      <c r="E16" s="24">
        <v>27917</v>
      </c>
      <c r="F16" s="24">
        <v>27808</v>
      </c>
      <c r="G16" s="24">
        <f>F16*(1+$B$58)</f>
        <v>30318.770004518294</v>
      </c>
      <c r="H16" s="24">
        <f t="shared" ref="H16:K16" si="4">G16*(1+$B$58)</f>
        <v>33056.236140207075</v>
      </c>
      <c r="I16" s="24">
        <f t="shared" si="4"/>
        <v>36040.866684047178</v>
      </c>
      <c r="J16" s="24">
        <f t="shared" si="4"/>
        <v>39294.977983211029</v>
      </c>
      <c r="K16" s="24">
        <f t="shared" si="4"/>
        <v>42842.901316368865</v>
      </c>
      <c r="L16" s="24"/>
    </row>
    <row r="17" spans="1:12" s="6" customFormat="1" x14ac:dyDescent="0.25">
      <c r="A17" t="s">
        <v>108</v>
      </c>
      <c r="B17" s="143">
        <f>B16/B7</f>
        <v>9.8319700647027566E-2</v>
      </c>
      <c r="C17" s="143">
        <f t="shared" ref="C17:F17" si="5">C16/C7</f>
        <v>8.8931325857699015E-2</v>
      </c>
      <c r="D17" s="143">
        <f t="shared" si="5"/>
        <v>9.3930758460733427E-2</v>
      </c>
      <c r="E17" s="143">
        <f t="shared" si="5"/>
        <v>9.0818298340240869E-2</v>
      </c>
      <c r="F17" s="143">
        <f t="shared" si="5"/>
        <v>7.94473427080893E-2</v>
      </c>
      <c r="G17" s="143">
        <f t="shared" ref="G17" si="6">G16/G7</f>
        <v>7.2658781782568696E-2</v>
      </c>
      <c r="H17" s="143">
        <f t="shared" ref="H17" si="7">H16/H7</f>
        <v>6.6095093697374513E-2</v>
      </c>
      <c r="I17" s="143">
        <f t="shared" ref="I17" si="8">I16/I7</f>
        <v>5.9441435936355529E-2</v>
      </c>
      <c r="J17" s="143">
        <f t="shared" ref="J17" si="9">J16/J7</f>
        <v>5.1933475437714587E-2</v>
      </c>
      <c r="K17" s="143">
        <f t="shared" ref="K17" si="10">K16/K7</f>
        <v>4.2060943314013104E-2</v>
      </c>
      <c r="L17" s="23"/>
    </row>
    <row r="18" spans="1:12" s="6" customFormat="1" x14ac:dyDescent="0.25">
      <c r="A18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s="6" customFormat="1" x14ac:dyDescent="0.25">
      <c r="A19" t="s">
        <v>101</v>
      </c>
      <c r="B19" s="140">
        <v>11052</v>
      </c>
      <c r="C19" s="141">
        <v>13510</v>
      </c>
      <c r="D19" s="141">
        <v>15724</v>
      </c>
      <c r="E19" s="141">
        <v>16425</v>
      </c>
      <c r="F19" s="141">
        <v>14188</v>
      </c>
      <c r="G19" s="23">
        <f>F19*(1+$B$59)</f>
        <v>14933.012539412082</v>
      </c>
      <c r="H19" s="23">
        <f t="shared" ref="H19:K19" si="11">G19*(1+$B$59)</f>
        <v>15717.145721894452</v>
      </c>
      <c r="I19" s="23">
        <f t="shared" si="11"/>
        <v>16542.45377423293</v>
      </c>
      <c r="J19" s="23">
        <f t="shared" si="11"/>
        <v>17411.098790757336</v>
      </c>
      <c r="K19" s="23">
        <f t="shared" si="11"/>
        <v>18325.356397471234</v>
      </c>
      <c r="L19" s="23"/>
    </row>
    <row r="20" spans="1:12" s="6" customFormat="1" x14ac:dyDescent="0.25">
      <c r="A20" s="603" t="s">
        <v>102</v>
      </c>
      <c r="B20" s="218">
        <f>B19/B7</f>
        <v>6.0549946035381066E-2</v>
      </c>
      <c r="C20" s="218">
        <f t="shared" ref="C20:F20" si="12">C19/C7</f>
        <v>5.2438120301043716E-2</v>
      </c>
      <c r="D20" s="218">
        <f t="shared" si="12"/>
        <v>5.5594054505084221E-2</v>
      </c>
      <c r="E20" s="218">
        <f t="shared" si="12"/>
        <v>5.3433053345218189E-2</v>
      </c>
      <c r="F20" s="218">
        <f t="shared" si="12"/>
        <v>4.0535058197007014E-2</v>
      </c>
      <c r="G20" s="218">
        <f t="shared" ref="G20" si="13">G19/G7</f>
        <v>3.5786890408014867E-2</v>
      </c>
      <c r="H20" s="218">
        <f t="shared" ref="H20" si="14">H19/H7</f>
        <v>3.1426028502995661E-2</v>
      </c>
      <c r="I20" s="218">
        <f t="shared" ref="I20" si="15">I19/I7</f>
        <v>2.7283117658389502E-2</v>
      </c>
      <c r="J20" s="218">
        <f t="shared" ref="J20:K20" si="16">J19/J7</f>
        <v>2.3011054282299132E-2</v>
      </c>
      <c r="K20" s="218">
        <f t="shared" si="16"/>
        <v>1.7990886540371499E-2</v>
      </c>
      <c r="L20" s="23"/>
    </row>
    <row r="21" spans="1:12" s="28" customFormat="1" x14ac:dyDescent="0.25">
      <c r="A21"/>
      <c r="B21" s="142"/>
      <c r="C21" s="23"/>
      <c r="D21" s="23"/>
      <c r="E21" s="23"/>
      <c r="F21" s="23"/>
      <c r="G21" s="219"/>
      <c r="H21" s="219"/>
      <c r="I21" s="219"/>
      <c r="J21" s="219"/>
      <c r="K21" s="219"/>
      <c r="L21" s="219"/>
    </row>
    <row r="22" spans="1:12" s="28" customFormat="1" x14ac:dyDescent="0.25">
      <c r="A22" t="s">
        <v>103</v>
      </c>
      <c r="B22" s="220">
        <v>27573</v>
      </c>
      <c r="C22" s="23">
        <v>31562</v>
      </c>
      <c r="D22" s="23">
        <v>39500</v>
      </c>
      <c r="E22" s="23">
        <v>45427</v>
      </c>
      <c r="F22" s="23">
        <v>49326</v>
      </c>
      <c r="G22" s="30">
        <f>F22*(1+$B$60)</f>
        <v>56250.683652970307</v>
      </c>
      <c r="H22" s="30">
        <f t="shared" ref="H22:K22" si="17">G22*(1+$B$60)</f>
        <v>64147.496481095994</v>
      </c>
      <c r="I22" s="30">
        <f t="shared" si="17"/>
        <v>73152.911885986221</v>
      </c>
      <c r="J22" s="30">
        <f t="shared" si="17"/>
        <v>83422.562234769139</v>
      </c>
      <c r="K22" s="30">
        <f t="shared" si="17"/>
        <v>95133.928512107741</v>
      </c>
      <c r="L22" s="30"/>
    </row>
    <row r="23" spans="1:12" s="6" customFormat="1" x14ac:dyDescent="0.25">
      <c r="A23" s="603" t="s">
        <v>104</v>
      </c>
      <c r="B23" s="143">
        <f>B22/B7</f>
        <v>0.15106258252203783</v>
      </c>
      <c r="C23" s="143">
        <f t="shared" ref="C23:F23" si="18">C22/C7</f>
        <v>0.12250569599863374</v>
      </c>
      <c r="D23" s="143">
        <f t="shared" si="18"/>
        <v>0.13965690364734334</v>
      </c>
      <c r="E23" s="143">
        <f t="shared" si="18"/>
        <v>0.14778102370247956</v>
      </c>
      <c r="F23" s="143">
        <f t="shared" si="18"/>
        <v>0.14092418104211785</v>
      </c>
      <c r="G23" s="143">
        <f>G22/G7</f>
        <v>0.13480448408864831</v>
      </c>
      <c r="H23" s="143">
        <f t="shared" ref="H23" si="19">H22/H7</f>
        <v>0.12826126883856057</v>
      </c>
      <c r="I23" s="143">
        <f t="shared" ref="I23" si="20">I22/I7</f>
        <v>0.1206495438511031</v>
      </c>
      <c r="J23" s="143">
        <f t="shared" ref="J23" si="21">J22/J7</f>
        <v>0.11025387490029002</v>
      </c>
      <c r="K23" s="143">
        <f t="shared" ref="K23" si="22">K22/K7</f>
        <v>9.3397567658619951E-2</v>
      </c>
      <c r="L23" s="23"/>
    </row>
    <row r="24" spans="1:12" s="6" customFormat="1" x14ac:dyDescent="0.25">
      <c r="A24" s="214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23"/>
    </row>
    <row r="25" spans="1:12" x14ac:dyDescent="0.25">
      <c r="A25" s="216" t="s">
        <v>144</v>
      </c>
      <c r="B25" s="131">
        <f>B13-(SUM(B16,B19,B22))</f>
        <v>41224</v>
      </c>
      <c r="C25" s="131">
        <f>C13-(SUM(C16,C19,C22))</f>
        <v>78714</v>
      </c>
      <c r="D25" s="131">
        <f t="shared" ref="D25:K25" si="23">D13-SUM(D16,D19,D22)</f>
        <v>74842</v>
      </c>
      <c r="E25" s="131">
        <f t="shared" si="23"/>
        <v>84293</v>
      </c>
      <c r="F25" s="131">
        <f t="shared" si="23"/>
        <v>112390</v>
      </c>
      <c r="G25" s="131">
        <f t="shared" si="23"/>
        <v>132775.59355577425</v>
      </c>
      <c r="H25" s="131">
        <f t="shared" si="23"/>
        <v>167876.03653325804</v>
      </c>
      <c r="I25" s="131">
        <f t="shared" si="23"/>
        <v>214682.99841760821</v>
      </c>
      <c r="J25" s="131">
        <f t="shared" si="23"/>
        <v>284684.37720031745</v>
      </c>
      <c r="K25" s="131">
        <f t="shared" si="23"/>
        <v>415581.90732544695</v>
      </c>
      <c r="L25" s="4"/>
    </row>
    <row r="26" spans="1:12" x14ac:dyDescent="0.25">
      <c r="A26" t="s">
        <v>141</v>
      </c>
      <c r="B26">
        <v>6858</v>
      </c>
      <c r="C26">
        <v>12020</v>
      </c>
      <c r="D26">
        <v>-3514</v>
      </c>
      <c r="E26">
        <v>1424</v>
      </c>
      <c r="F26">
        <v>7425</v>
      </c>
      <c r="G26" s="117">
        <f>F26*(1+$B$63)</f>
        <v>7570.0085243706271</v>
      </c>
      <c r="H26" s="117">
        <f t="shared" ref="H26:K26" si="24">G26*(1+$B$63)</f>
        <v>7717.849031521072</v>
      </c>
      <c r="I26" s="117">
        <f t="shared" si="24"/>
        <v>7868.5768294168493</v>
      </c>
      <c r="J26" s="117">
        <f t="shared" si="24"/>
        <v>8022.2483061751855</v>
      </c>
      <c r="K26" s="117">
        <f t="shared" si="24"/>
        <v>8178.9209511601321</v>
      </c>
      <c r="L26" s="131"/>
    </row>
    <row r="27" spans="1:12" x14ac:dyDescent="0.25">
      <c r="A27" t="s">
        <v>142</v>
      </c>
      <c r="B27" s="102">
        <f>B26/B7</f>
        <v>3.7572523517068711E-2</v>
      </c>
      <c r="C27" s="102">
        <f t="shared" ref="C27:F27" si="25">C26/C7</f>
        <v>4.6654789490639934E-2</v>
      </c>
      <c r="D27" s="102">
        <f t="shared" si="25"/>
        <v>-1.2424160997892772E-2</v>
      </c>
      <c r="E27" s="102">
        <f t="shared" si="25"/>
        <v>4.6324912002186115E-3</v>
      </c>
      <c r="F27" s="102">
        <f t="shared" si="25"/>
        <v>2.1213194749984288E-2</v>
      </c>
      <c r="L27" s="131"/>
    </row>
    <row r="28" spans="1:12" x14ac:dyDescent="0.25">
      <c r="L28" s="131"/>
    </row>
    <row r="29" spans="1:12" x14ac:dyDescent="0.25">
      <c r="A29" s="216" t="s">
        <v>145</v>
      </c>
      <c r="B29" s="295">
        <f>B25+B26</f>
        <v>48082</v>
      </c>
      <c r="C29" s="295">
        <f t="shared" ref="C29:K29" si="26">C25+C26</f>
        <v>90734</v>
      </c>
      <c r="D29" s="295">
        <f t="shared" si="26"/>
        <v>71328</v>
      </c>
      <c r="E29" s="295">
        <f t="shared" si="26"/>
        <v>85717</v>
      </c>
      <c r="F29" s="295">
        <f t="shared" si="26"/>
        <v>119815</v>
      </c>
      <c r="G29" s="295">
        <f t="shared" si="26"/>
        <v>140345.60208014486</v>
      </c>
      <c r="H29" s="295">
        <f t="shared" si="26"/>
        <v>175593.88556477911</v>
      </c>
      <c r="I29" s="295">
        <f t="shared" si="26"/>
        <v>222551.57524702506</v>
      </c>
      <c r="J29" s="295">
        <f t="shared" si="26"/>
        <v>292706.62550649262</v>
      </c>
      <c r="K29" s="295">
        <f t="shared" si="26"/>
        <v>423760.82827660709</v>
      </c>
      <c r="L29" s="131"/>
    </row>
    <row r="30" spans="1:12" x14ac:dyDescent="0.25">
      <c r="A30" s="6" t="s">
        <v>213</v>
      </c>
      <c r="B30" s="296">
        <v>7813</v>
      </c>
      <c r="C30" s="296">
        <v>14701</v>
      </c>
      <c r="D30" s="296">
        <v>11356</v>
      </c>
      <c r="E30" s="296">
        <v>11922</v>
      </c>
      <c r="F30" s="296">
        <v>19697</v>
      </c>
      <c r="G30" s="296">
        <f>G29*$B$56</f>
        <v>22096.15662369589</v>
      </c>
      <c r="H30" s="296">
        <f t="shared" ref="H30:K30" si="27">H29*$B$56</f>
        <v>27645.682800854938</v>
      </c>
      <c r="I30" s="296">
        <f t="shared" si="27"/>
        <v>35038.749990187302</v>
      </c>
      <c r="J30" s="296">
        <f t="shared" si="27"/>
        <v>46084.033600793286</v>
      </c>
      <c r="K30" s="296">
        <f t="shared" si="27"/>
        <v>66717.342715448656</v>
      </c>
      <c r="L30" s="131"/>
    </row>
    <row r="31" spans="1:12" x14ac:dyDescent="0.25">
      <c r="A31" s="6"/>
      <c r="B31" s="297">
        <f>B30/B29</f>
        <v>0.16249324071378063</v>
      </c>
      <c r="C31" s="297">
        <f t="shared" ref="C31:K31" si="28">C30/C29</f>
        <v>0.16202305640663919</v>
      </c>
      <c r="D31" s="297">
        <f t="shared" si="28"/>
        <v>0.1592081650964558</v>
      </c>
      <c r="E31" s="297">
        <f t="shared" si="28"/>
        <v>0.13908559562280529</v>
      </c>
      <c r="F31" s="297">
        <f>F30/F29</f>
        <v>0.16439510912657013</v>
      </c>
      <c r="G31" s="297">
        <f>G30/G29</f>
        <v>0.15744103339325019</v>
      </c>
      <c r="H31" s="297">
        <f>H30/H29</f>
        <v>0.15744103339325019</v>
      </c>
      <c r="I31" s="297">
        <f>I30/I29</f>
        <v>0.15744103339325016</v>
      </c>
      <c r="J31" s="297">
        <f>J30/J29</f>
        <v>0.15744103339325019</v>
      </c>
      <c r="K31" s="297">
        <f t="shared" si="28"/>
        <v>0.15744103339325019</v>
      </c>
      <c r="L31" s="131"/>
    </row>
    <row r="32" spans="1:12" x14ac:dyDescent="0.25">
      <c r="A32" s="6"/>
      <c r="B32" s="296"/>
      <c r="C32" s="296"/>
      <c r="D32" s="296"/>
      <c r="E32" s="296"/>
      <c r="F32" s="296"/>
      <c r="G32" s="296"/>
      <c r="H32" s="296"/>
      <c r="I32" s="296"/>
      <c r="J32" s="296"/>
      <c r="K32" s="296"/>
      <c r="L32" s="131"/>
    </row>
    <row r="33" spans="1:15" x14ac:dyDescent="0.25">
      <c r="A33" s="6" t="s">
        <v>146</v>
      </c>
      <c r="B33" s="298">
        <f>B29-B30</f>
        <v>40269</v>
      </c>
      <c r="C33" s="298">
        <f t="shared" ref="C33:K33" si="29">C29-C30</f>
        <v>76033</v>
      </c>
      <c r="D33" s="298">
        <f t="shared" si="29"/>
        <v>59972</v>
      </c>
      <c r="E33" s="298">
        <f t="shared" si="29"/>
        <v>73795</v>
      </c>
      <c r="F33" s="298">
        <f t="shared" si="29"/>
        <v>100118</v>
      </c>
      <c r="G33" s="298">
        <f t="shared" si="29"/>
        <v>118249.44545644897</v>
      </c>
      <c r="H33" s="298">
        <f t="shared" si="29"/>
        <v>147948.20276392417</v>
      </c>
      <c r="I33" s="298">
        <f t="shared" si="29"/>
        <v>187512.82525683776</v>
      </c>
      <c r="J33" s="298">
        <f t="shared" si="29"/>
        <v>246622.59190569934</v>
      </c>
      <c r="K33" s="298">
        <f t="shared" si="29"/>
        <v>357043.48556115845</v>
      </c>
      <c r="L33" s="131"/>
    </row>
    <row r="34" spans="1:15" x14ac:dyDescent="0.25">
      <c r="A34" s="6" t="s">
        <v>148</v>
      </c>
      <c r="B34" s="297">
        <f>B33/B7</f>
        <v>0.22061941520980458</v>
      </c>
      <c r="C34" s="297">
        <f t="shared" ref="C34:K34" si="30">C33/C7</f>
        <v>0.29511677282377918</v>
      </c>
      <c r="D34" s="297">
        <f t="shared" si="30"/>
        <v>0.21203807153261961</v>
      </c>
      <c r="E34" s="297">
        <f t="shared" si="30"/>
        <v>0.24006649446638517</v>
      </c>
      <c r="F34" s="297">
        <f t="shared" si="30"/>
        <v>0.28603671811164</v>
      </c>
      <c r="G34" s="297">
        <f t="shared" si="30"/>
        <v>0.28338420892567451</v>
      </c>
      <c r="H34" s="297">
        <f t="shared" si="30"/>
        <v>0.29581862504139511</v>
      </c>
      <c r="I34" s="297">
        <f t="shared" si="30"/>
        <v>0.30926092004005373</v>
      </c>
      <c r="J34" s="297">
        <f t="shared" si="30"/>
        <v>0.32594415308216768</v>
      </c>
      <c r="K34" s="297">
        <f t="shared" si="30"/>
        <v>0.3505268164714096</v>
      </c>
      <c r="L34" s="131"/>
    </row>
    <row r="35" spans="1:15" x14ac:dyDescent="0.25"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86" t="s">
        <v>37</v>
      </c>
    </row>
    <row r="36" spans="1:15" x14ac:dyDescent="0.25">
      <c r="A36" t="s">
        <v>105</v>
      </c>
      <c r="B36" s="23">
        <f>SUM('Fixed Assets Schedule'!B11,'Fixed Assets Schedule'!B22)</f>
        <v>11712</v>
      </c>
      <c r="C36" s="23">
        <f>SUM('Fixed Assets Schedule'!C11,'Fixed Assets Schedule'!C22)</f>
        <v>11818</v>
      </c>
      <c r="D36" s="23">
        <f>SUM('Fixed Assets Schedule'!D11,'Fixed Assets Schedule'!D22)</f>
        <v>17083</v>
      </c>
      <c r="E36" s="23">
        <f>SUM('Fixed Assets Schedule'!E11,'Fixed Assets Schedule'!E22)</f>
        <v>10983.666666666666</v>
      </c>
      <c r="F36" s="23">
        <f>SUM('Fixed Assets Schedule'!F11,'Fixed Assets Schedule'!F22)</f>
        <v>15844</v>
      </c>
      <c r="G36" s="23">
        <f>SUM('Fixed Assets Schedule'!G11,'Fixed Assets Schedule'!G22)</f>
        <v>20346.997153386063</v>
      </c>
      <c r="H36" s="23">
        <f>SUM('Fixed Assets Schedule'!H11,'Fixed Assets Schedule'!H22)</f>
        <v>24387.149328888856</v>
      </c>
      <c r="I36" s="23">
        <f>SUM('Fixed Assets Schedule'!I11,'Fixed Assets Schedule'!I22)</f>
        <v>29565.334144315439</v>
      </c>
      <c r="J36" s="23">
        <f>SUM('Fixed Assets Schedule'!J11,'Fixed Assets Schedule'!J22)</f>
        <v>36894.915557402281</v>
      </c>
      <c r="K36" s="23">
        <f>SUM('Fixed Assets Schedule'!K11,'Fixed Assets Schedule'!K22)</f>
        <v>49668.005769900679</v>
      </c>
      <c r="L36" s="23"/>
      <c r="M36" s="86"/>
    </row>
    <row r="37" spans="1:15" x14ac:dyDescent="0.25">
      <c r="A37" s="214" t="s">
        <v>106</v>
      </c>
      <c r="B37" s="143">
        <f>B36/B7</f>
        <v>6.4165849435973851E-2</v>
      </c>
      <c r="C37" s="143">
        <f t="shared" ref="C37:K37" si="31">C36/C7</f>
        <v>4.5870740615672437E-2</v>
      </c>
      <c r="D37" s="143">
        <f t="shared" si="31"/>
        <v>6.0398959114115601E-2</v>
      </c>
      <c r="E37" s="143">
        <f t="shared" si="31"/>
        <v>3.5731558412547632E-2</v>
      </c>
      <c r="F37" s="143">
        <f t="shared" si="31"/>
        <v>4.5266243450336842E-2</v>
      </c>
      <c r="G37" s="143">
        <f t="shared" si="31"/>
        <v>4.8761477654868775E-2</v>
      </c>
      <c r="H37" s="143">
        <f t="shared" si="31"/>
        <v>4.8761477654868775E-2</v>
      </c>
      <c r="I37" s="143">
        <f t="shared" si="31"/>
        <v>4.8761477654868768E-2</v>
      </c>
      <c r="J37" s="143">
        <f t="shared" si="31"/>
        <v>4.8761477654868775E-2</v>
      </c>
      <c r="K37" s="143">
        <f t="shared" si="31"/>
        <v>4.8761477654868775E-2</v>
      </c>
      <c r="L37" s="23"/>
      <c r="M37" s="86"/>
    </row>
    <row r="38" spans="1:15" s="6" customFormat="1" x14ac:dyDescent="0.25">
      <c r="A38"/>
      <c r="B38" s="143"/>
      <c r="C38" s="143"/>
      <c r="D38" s="143"/>
      <c r="E38" s="143"/>
      <c r="F38" s="143"/>
      <c r="G38" s="299"/>
      <c r="H38" s="300"/>
      <c r="I38" s="299"/>
      <c r="J38" s="299"/>
      <c r="K38" s="299"/>
      <c r="L38" s="299"/>
    </row>
    <row r="39" spans="1:15" s="6" customFormat="1" x14ac:dyDescent="0.25">
      <c r="A39"/>
      <c r="B39" s="143"/>
      <c r="C39" s="23"/>
      <c r="D39" s="143"/>
      <c r="E39" s="23"/>
      <c r="F39" s="143"/>
      <c r="G39" s="299"/>
      <c r="H39" s="300"/>
      <c r="I39" s="299"/>
      <c r="J39" s="299"/>
      <c r="K39" s="299"/>
      <c r="L39" s="299"/>
    </row>
    <row r="40" spans="1:15" x14ac:dyDescent="0.25">
      <c r="A40" s="217" t="s">
        <v>107</v>
      </c>
      <c r="B40" s="321">
        <f>'Alphabet-BS'!B43</f>
        <v>163401</v>
      </c>
      <c r="C40" s="321">
        <f>'Alphabet-BS'!C43</f>
        <v>191484</v>
      </c>
      <c r="D40" s="321">
        <f>'Alphabet-BS'!D43</f>
        <v>195563</v>
      </c>
      <c r="E40" s="321">
        <f>'Alphabet-BS'!E43</f>
        <v>211247</v>
      </c>
      <c r="F40" s="321">
        <f>'Alphabet-BS'!F43</f>
        <v>245084</v>
      </c>
      <c r="G40" s="322">
        <f>F40+G33</f>
        <v>363333.44545644894</v>
      </c>
      <c r="H40" s="322">
        <f>G40+H33</f>
        <v>511281.64822037308</v>
      </c>
      <c r="I40" s="322">
        <f t="shared" ref="I40:K40" si="32">H40+I33</f>
        <v>698794.47347721085</v>
      </c>
      <c r="J40" s="322">
        <f t="shared" si="32"/>
        <v>945417.06538291019</v>
      </c>
      <c r="K40" s="322">
        <f t="shared" si="32"/>
        <v>1302460.5509440687</v>
      </c>
      <c r="L40" s="130"/>
    </row>
    <row r="41" spans="1:15" x14ac:dyDescent="0.25">
      <c r="A41" s="214"/>
      <c r="B41" s="122"/>
      <c r="C41" s="122"/>
      <c r="D41" s="122"/>
      <c r="E41" s="122"/>
      <c r="F41" s="122"/>
      <c r="G41" s="301"/>
      <c r="H41" s="302"/>
      <c r="I41" s="301"/>
      <c r="J41" s="301"/>
      <c r="K41" s="301"/>
      <c r="L41" s="301"/>
      <c r="M41" s="84"/>
    </row>
    <row r="42" spans="1:15" x14ac:dyDescent="0.25">
      <c r="B42" s="122"/>
      <c r="C42" s="84"/>
      <c r="D42" s="121"/>
      <c r="E42" s="84"/>
      <c r="F42" s="122"/>
      <c r="G42" s="301"/>
      <c r="H42" s="302"/>
      <c r="I42" s="301"/>
      <c r="J42" s="301"/>
      <c r="K42" s="301"/>
      <c r="L42" s="301"/>
      <c r="M42" s="84"/>
    </row>
    <row r="43" spans="1:15" x14ac:dyDescent="0.25">
      <c r="B43" s="122"/>
      <c r="C43" s="84"/>
      <c r="D43" s="84"/>
      <c r="E43" s="84"/>
      <c r="F43" s="84"/>
      <c r="G43" s="301"/>
      <c r="H43" s="302"/>
      <c r="I43" s="301"/>
      <c r="J43" s="301"/>
      <c r="K43" s="301"/>
      <c r="L43" s="301"/>
      <c r="M43" s="84"/>
    </row>
    <row r="44" spans="1:15" x14ac:dyDescent="0.25">
      <c r="B44" s="121"/>
      <c r="C44" s="121"/>
      <c r="D44" s="121"/>
      <c r="E44" s="121"/>
      <c r="F44" s="121"/>
      <c r="G44" s="303"/>
      <c r="H44" s="304"/>
      <c r="I44" s="303"/>
      <c r="J44" s="303"/>
      <c r="K44" s="303"/>
      <c r="L44" s="303"/>
      <c r="M44" s="86" t="s">
        <v>38</v>
      </c>
    </row>
    <row r="45" spans="1:15" x14ac:dyDescent="0.25">
      <c r="B45" s="121"/>
      <c r="C45" s="4"/>
      <c r="D45" s="121"/>
      <c r="E45" s="4"/>
      <c r="F45" s="102"/>
      <c r="G45" s="130"/>
      <c r="H45" s="305"/>
      <c r="I45" s="130"/>
      <c r="J45" s="130"/>
      <c r="K45" s="130"/>
      <c r="L45" s="130"/>
    </row>
    <row r="46" spans="1:15" x14ac:dyDescent="0.25">
      <c r="B46" s="4"/>
      <c r="C46" s="4"/>
      <c r="D46" s="4"/>
      <c r="E46" s="4"/>
      <c r="G46" s="130"/>
      <c r="H46" s="305"/>
      <c r="I46" s="130"/>
      <c r="J46" s="130"/>
      <c r="K46" s="130"/>
      <c r="L46" s="130"/>
    </row>
    <row r="47" spans="1:15" x14ac:dyDescent="0.25">
      <c r="B47" s="122"/>
      <c r="C47" s="122"/>
      <c r="D47" s="122"/>
      <c r="E47" s="122"/>
      <c r="F47" s="122"/>
      <c r="G47" s="301"/>
      <c r="H47" s="302"/>
      <c r="I47" s="301"/>
      <c r="J47" s="301"/>
      <c r="K47" s="301"/>
      <c r="L47" s="301"/>
      <c r="M47" s="84"/>
      <c r="N47" s="84"/>
      <c r="O47" s="84"/>
    </row>
    <row r="48" spans="1:15" x14ac:dyDescent="0.25">
      <c r="B48" s="122"/>
      <c r="C48" s="84"/>
      <c r="D48" s="121"/>
      <c r="E48" s="84"/>
      <c r="F48" s="122"/>
      <c r="G48" s="301"/>
      <c r="H48" s="302"/>
      <c r="I48" s="301"/>
      <c r="J48" s="301"/>
      <c r="K48" s="301"/>
      <c r="L48" s="301"/>
      <c r="M48" s="84"/>
      <c r="N48" s="84"/>
      <c r="O48" s="84"/>
    </row>
    <row r="49" spans="1:15" ht="15.75" thickBot="1" x14ac:dyDescent="0.3">
      <c r="B49" s="84"/>
      <c r="C49" s="84"/>
      <c r="D49" s="84"/>
      <c r="E49" s="84"/>
      <c r="F49" s="84"/>
      <c r="G49" s="301"/>
      <c r="H49" s="302"/>
      <c r="I49" s="301"/>
      <c r="J49" s="301"/>
      <c r="K49" s="301"/>
      <c r="L49" s="301"/>
      <c r="M49" s="84"/>
      <c r="N49" s="84"/>
      <c r="O49" s="84"/>
    </row>
    <row r="50" spans="1:15" x14ac:dyDescent="0.25">
      <c r="B50" s="121"/>
      <c r="C50" s="121"/>
      <c r="D50" s="121"/>
      <c r="E50" s="121"/>
      <c r="F50" s="121"/>
      <c r="G50" s="306"/>
      <c r="H50" s="304"/>
      <c r="I50" s="303"/>
      <c r="J50" s="303"/>
      <c r="K50" s="303"/>
      <c r="L50" s="303"/>
      <c r="M50" s="665" t="s">
        <v>36</v>
      </c>
      <c r="N50" s="666"/>
      <c r="O50" s="667"/>
    </row>
    <row r="51" spans="1:15" x14ac:dyDescent="0.25">
      <c r="B51" s="121"/>
      <c r="C51" s="4"/>
      <c r="D51" s="121"/>
      <c r="E51" s="4"/>
      <c r="F51" s="121"/>
      <c r="G51" s="303"/>
      <c r="H51" s="304"/>
      <c r="I51" s="303"/>
      <c r="J51" s="303"/>
      <c r="K51" s="303"/>
      <c r="L51" s="303"/>
      <c r="M51" s="668"/>
      <c r="N51" s="669"/>
      <c r="O51" s="670"/>
    </row>
    <row r="52" spans="1:15" x14ac:dyDescent="0.25">
      <c r="A52" s="5"/>
      <c r="B52" s="121"/>
      <c r="C52" s="4"/>
      <c r="D52" s="121"/>
      <c r="E52" s="4"/>
      <c r="F52" s="4"/>
      <c r="G52" s="303"/>
      <c r="H52" s="304"/>
      <c r="I52" s="303"/>
      <c r="J52" s="303"/>
      <c r="K52" s="303"/>
      <c r="L52" s="303"/>
      <c r="M52" s="668"/>
      <c r="N52" s="669"/>
      <c r="O52" s="670"/>
    </row>
    <row r="53" spans="1:15" x14ac:dyDescent="0.25">
      <c r="A53" s="5"/>
      <c r="B53" s="121"/>
      <c r="C53" s="121"/>
      <c r="D53" s="121"/>
      <c r="E53" s="121"/>
      <c r="F53" s="121"/>
      <c r="G53" s="130"/>
      <c r="H53" s="305"/>
      <c r="I53" s="130"/>
      <c r="J53" s="130"/>
      <c r="K53" s="130"/>
      <c r="L53" s="130"/>
      <c r="M53" s="668"/>
      <c r="N53" s="669"/>
      <c r="O53" s="670"/>
    </row>
    <row r="54" spans="1:15" x14ac:dyDescent="0.25">
      <c r="A54" s="94"/>
      <c r="B54" s="122"/>
      <c r="C54" s="128"/>
      <c r="D54" s="121"/>
      <c r="E54" s="128"/>
      <c r="F54" s="128"/>
      <c r="G54" s="301"/>
      <c r="H54" s="302"/>
      <c r="I54" s="301"/>
      <c r="J54" s="301"/>
      <c r="K54" s="301"/>
      <c r="L54" s="301"/>
      <c r="M54" s="668"/>
      <c r="N54" s="669"/>
      <c r="O54" s="670"/>
    </row>
    <row r="55" spans="1:15" s="6" customFormat="1" x14ac:dyDescent="0.25">
      <c r="A55" s="213" t="s">
        <v>93</v>
      </c>
      <c r="B55" s="24"/>
      <c r="C55" s="24"/>
      <c r="D55" s="24"/>
      <c r="E55" s="24"/>
      <c r="F55" s="24"/>
      <c r="G55" s="307"/>
      <c r="H55" s="308"/>
      <c r="I55" s="307"/>
      <c r="J55" s="307"/>
      <c r="K55" s="307"/>
      <c r="L55" s="307"/>
    </row>
    <row r="56" spans="1:15" x14ac:dyDescent="0.25">
      <c r="A56" s="213" t="s">
        <v>147</v>
      </c>
      <c r="B56" s="143">
        <f>AVERAGE(B31:F31)</f>
        <v>0.15744103339325019</v>
      </c>
      <c r="C56" s="23"/>
      <c r="D56" s="23"/>
      <c r="E56" s="23"/>
      <c r="F56" s="155"/>
      <c r="G56" s="309"/>
      <c r="H56" s="309"/>
      <c r="I56" s="309"/>
      <c r="J56" s="309"/>
      <c r="K56" s="309"/>
      <c r="L56" s="309"/>
    </row>
    <row r="57" spans="1:15" x14ac:dyDescent="0.25">
      <c r="A57" s="214" t="s">
        <v>94</v>
      </c>
      <c r="B57" s="156">
        <f>AVERAGE(B11:F11)</f>
        <v>0.43855379299765718</v>
      </c>
      <c r="C57" s="156"/>
      <c r="D57" s="156"/>
      <c r="E57" s="156"/>
      <c r="F57" s="156"/>
      <c r="G57" s="301"/>
      <c r="H57" s="302"/>
      <c r="I57" s="301"/>
      <c r="J57" s="301"/>
      <c r="K57" s="301"/>
      <c r="L57" s="301"/>
      <c r="M57" s="84"/>
    </row>
    <row r="58" spans="1:15" x14ac:dyDescent="0.25">
      <c r="A58" s="214" t="s">
        <v>109</v>
      </c>
      <c r="B58" s="156">
        <f>AVERAGE(B17:F17)</f>
        <v>9.0289485202758021E-2</v>
      </c>
      <c r="C58" s="156"/>
      <c r="D58" s="156"/>
      <c r="E58" s="156"/>
      <c r="F58" s="156"/>
      <c r="G58" s="301"/>
      <c r="H58" s="302"/>
      <c r="I58" s="301"/>
      <c r="J58" s="301"/>
      <c r="K58" s="301"/>
      <c r="L58" s="301"/>
      <c r="M58" s="84"/>
    </row>
    <row r="59" spans="1:15" x14ac:dyDescent="0.25">
      <c r="A59" t="s">
        <v>110</v>
      </c>
      <c r="B59" s="156">
        <f>AVERAGE(B20:F20)</f>
        <v>5.2510046476746841E-2</v>
      </c>
      <c r="C59" s="156"/>
      <c r="D59" s="156"/>
      <c r="E59" s="156"/>
      <c r="F59" s="156"/>
      <c r="G59" s="301"/>
      <c r="H59" s="302"/>
      <c r="I59" s="301"/>
      <c r="J59" s="301"/>
      <c r="K59" s="301"/>
      <c r="L59" s="301"/>
      <c r="M59" s="84"/>
    </row>
    <row r="60" spans="1:15" x14ac:dyDescent="0.25">
      <c r="A60" s="214" t="s">
        <v>95</v>
      </c>
      <c r="B60" s="143">
        <f>AVERAGE(B23:F23)</f>
        <v>0.14038607738252246</v>
      </c>
      <c r="C60" s="4"/>
      <c r="D60" s="4"/>
      <c r="E60" s="4"/>
      <c r="F60" s="4"/>
      <c r="G60" s="303"/>
      <c r="H60" s="304"/>
      <c r="I60" s="303"/>
      <c r="J60" s="303"/>
      <c r="K60" s="303"/>
      <c r="L60" s="303"/>
    </row>
    <row r="61" spans="1:15" x14ac:dyDescent="0.25">
      <c r="A61" s="214" t="s">
        <v>96</v>
      </c>
      <c r="B61" s="4"/>
      <c r="C61" s="4"/>
      <c r="D61" s="4"/>
      <c r="E61" s="4"/>
      <c r="G61" s="130"/>
      <c r="H61" s="305"/>
      <c r="I61" s="130"/>
      <c r="J61" s="130"/>
      <c r="K61" s="130"/>
      <c r="L61" s="130"/>
    </row>
    <row r="62" spans="1:15" s="6" customFormat="1" x14ac:dyDescent="0.25">
      <c r="A62" s="214" t="s">
        <v>97</v>
      </c>
      <c r="B62" s="24"/>
      <c r="C62" s="24"/>
      <c r="D62" s="24"/>
      <c r="E62" s="24"/>
      <c r="F62" s="24"/>
      <c r="G62" s="307"/>
      <c r="H62" s="308"/>
      <c r="I62" s="307"/>
      <c r="J62" s="307"/>
      <c r="K62" s="307"/>
      <c r="L62" s="307"/>
    </row>
    <row r="63" spans="1:15" x14ac:dyDescent="0.25">
      <c r="A63" t="s">
        <v>143</v>
      </c>
      <c r="B63" s="121">
        <f>AVERAGE(B27:F27)</f>
        <v>1.9529767592003752E-2</v>
      </c>
      <c r="C63" s="4"/>
      <c r="D63" s="4"/>
      <c r="E63" s="4"/>
      <c r="G63" s="130"/>
      <c r="H63" s="305"/>
      <c r="I63" s="130"/>
      <c r="J63" s="130"/>
      <c r="K63" s="130"/>
      <c r="L63" s="130"/>
    </row>
    <row r="64" spans="1:15" x14ac:dyDescent="0.25">
      <c r="A64" s="94"/>
      <c r="B64" s="30"/>
      <c r="C64" s="30"/>
      <c r="D64" s="30"/>
      <c r="E64" s="30"/>
      <c r="F64" s="84"/>
      <c r="G64" s="310"/>
      <c r="H64" s="311"/>
      <c r="I64" s="310"/>
      <c r="J64" s="310"/>
      <c r="K64" s="310"/>
      <c r="L64" s="310"/>
    </row>
    <row r="65" spans="1:19" x14ac:dyDescent="0.25">
      <c r="A65" s="94"/>
      <c r="B65" s="84"/>
      <c r="C65" s="30"/>
      <c r="D65" s="30"/>
      <c r="E65" s="30"/>
      <c r="F65" s="30"/>
      <c r="G65" s="310"/>
      <c r="H65" s="311"/>
      <c r="I65" s="310"/>
      <c r="J65" s="310"/>
      <c r="K65" s="310"/>
      <c r="L65" s="310"/>
    </row>
    <row r="66" spans="1:19" x14ac:dyDescent="0.25">
      <c r="A66" s="87"/>
      <c r="B66" s="4"/>
      <c r="C66" s="4"/>
      <c r="D66" s="4"/>
      <c r="E66" s="4"/>
      <c r="F66" s="88"/>
      <c r="G66" s="312"/>
      <c r="H66" s="313"/>
      <c r="I66" s="303"/>
      <c r="J66" s="303"/>
      <c r="K66" s="303"/>
      <c r="L66" s="303"/>
    </row>
    <row r="67" spans="1:19" x14ac:dyDescent="0.25">
      <c r="A67" s="87"/>
      <c r="B67" s="4"/>
      <c r="C67" s="4"/>
      <c r="D67" s="4"/>
      <c r="E67" s="4"/>
      <c r="G67" s="130"/>
      <c r="H67" s="305"/>
      <c r="I67" s="130"/>
      <c r="J67" s="130"/>
      <c r="K67" s="130"/>
      <c r="L67" s="130"/>
    </row>
    <row r="68" spans="1:19" s="6" customFormat="1" x14ac:dyDescent="0.25">
      <c r="A68" s="2"/>
      <c r="B68" s="24"/>
      <c r="C68" s="24"/>
      <c r="D68" s="24"/>
      <c r="E68" s="24"/>
      <c r="F68" s="24"/>
      <c r="G68" s="307"/>
      <c r="H68" s="308"/>
      <c r="I68" s="307"/>
      <c r="J68" s="307"/>
      <c r="K68" s="307"/>
      <c r="L68" s="307"/>
    </row>
    <row r="69" spans="1:19" x14ac:dyDescent="0.25">
      <c r="A69" s="2"/>
      <c r="B69" s="4"/>
      <c r="C69" s="4"/>
      <c r="D69" s="4"/>
      <c r="E69" s="4"/>
      <c r="G69" s="130"/>
      <c r="H69" s="305"/>
      <c r="I69" s="130"/>
      <c r="J69" s="130"/>
      <c r="K69" s="130"/>
      <c r="L69" s="130"/>
    </row>
    <row r="70" spans="1:19" x14ac:dyDescent="0.25">
      <c r="A70" s="5"/>
      <c r="B70" s="4"/>
      <c r="C70" s="4"/>
      <c r="D70" s="4"/>
      <c r="E70" s="4"/>
      <c r="F70" s="4"/>
      <c r="G70" s="314"/>
      <c r="H70" s="304"/>
      <c r="I70" s="314"/>
      <c r="J70" s="314"/>
      <c r="K70" s="314"/>
      <c r="L70" s="314"/>
    </row>
    <row r="71" spans="1:19" x14ac:dyDescent="0.25">
      <c r="A71" s="2"/>
      <c r="B71" s="4"/>
      <c r="C71" s="4"/>
      <c r="D71" s="4"/>
      <c r="E71" s="4"/>
      <c r="G71" s="130"/>
      <c r="H71" s="305"/>
      <c r="I71" s="130"/>
      <c r="J71" s="130"/>
      <c r="K71" s="130"/>
      <c r="L71" s="130"/>
    </row>
    <row r="72" spans="1:19" ht="15.75" thickBot="1" x14ac:dyDescent="0.3">
      <c r="A72" s="5"/>
      <c r="B72" s="31"/>
      <c r="C72" s="31"/>
      <c r="D72" s="31"/>
      <c r="E72" s="31"/>
      <c r="F72" s="31"/>
      <c r="G72" s="315"/>
      <c r="H72" s="316"/>
      <c r="I72" s="315"/>
      <c r="J72" s="315"/>
      <c r="K72" s="315"/>
      <c r="L72" s="315"/>
      <c r="M72" s="12"/>
      <c r="N72" s="12"/>
      <c r="O72" s="12"/>
      <c r="P72" s="12"/>
      <c r="Q72" s="12"/>
      <c r="R72" s="12"/>
      <c r="S72" s="12"/>
    </row>
    <row r="73" spans="1:19" x14ac:dyDescent="0.25">
      <c r="A73" s="2"/>
      <c r="B73" s="4"/>
      <c r="C73" s="4"/>
      <c r="D73" s="4"/>
      <c r="E73" s="4"/>
      <c r="G73" s="130"/>
      <c r="H73" s="130"/>
      <c r="I73" s="130"/>
      <c r="J73" s="130"/>
      <c r="K73" s="130"/>
      <c r="L73" s="130"/>
    </row>
    <row r="74" spans="1:19" s="32" customFormat="1" ht="32.450000000000003" customHeight="1" x14ac:dyDescent="0.25">
      <c r="A74" s="55"/>
      <c r="B74" s="660"/>
      <c r="C74" s="660"/>
      <c r="D74" s="660"/>
      <c r="E74" s="660"/>
      <c r="F74" s="661"/>
      <c r="G74" s="671" t="s">
        <v>35</v>
      </c>
      <c r="H74" s="671"/>
      <c r="I74" s="671"/>
      <c r="J74" s="671"/>
      <c r="K74" s="671"/>
      <c r="L74" s="671"/>
    </row>
    <row r="75" spans="1:19" x14ac:dyDescent="0.25">
      <c r="A75" s="2"/>
      <c r="B75" s="35"/>
      <c r="C75" s="35"/>
      <c r="D75" s="35"/>
      <c r="E75" s="35"/>
      <c r="F75" s="661"/>
      <c r="G75" s="130"/>
      <c r="H75" s="130"/>
      <c r="I75" s="130"/>
      <c r="J75" s="130"/>
      <c r="K75" s="130"/>
      <c r="L75" s="130"/>
    </row>
    <row r="76" spans="1:19" x14ac:dyDescent="0.25">
      <c r="A76" s="89"/>
      <c r="B76" s="36"/>
      <c r="C76" s="36"/>
      <c r="D76" s="36"/>
      <c r="E76" s="36"/>
      <c r="F76" s="661"/>
      <c r="G76" s="130"/>
      <c r="H76" s="130"/>
      <c r="I76" s="130"/>
      <c r="J76" s="130"/>
      <c r="K76" s="130"/>
      <c r="L76" s="130"/>
    </row>
    <row r="77" spans="1:19" x14ac:dyDescent="0.25">
      <c r="A77" s="90"/>
      <c r="G77" s="130"/>
      <c r="H77" s="130"/>
      <c r="I77" s="130"/>
      <c r="J77" s="130"/>
      <c r="K77" s="130"/>
      <c r="L77" s="130"/>
    </row>
    <row r="78" spans="1:19" x14ac:dyDescent="0.25">
      <c r="A78" s="58"/>
      <c r="B78" s="27"/>
      <c r="C78" s="27"/>
      <c r="D78" s="27"/>
      <c r="E78" s="27"/>
      <c r="G78" s="130"/>
      <c r="H78" s="130"/>
      <c r="I78" s="130"/>
      <c r="J78" s="130"/>
      <c r="K78" s="130"/>
      <c r="L78" s="130"/>
    </row>
    <row r="79" spans="1:19" x14ac:dyDescent="0.25">
      <c r="A79" s="58"/>
      <c r="B79" s="27"/>
      <c r="C79" s="27"/>
      <c r="D79" s="27"/>
      <c r="E79" s="27"/>
      <c r="F79" s="27"/>
      <c r="G79" s="130"/>
      <c r="H79" s="130"/>
      <c r="I79" s="130"/>
      <c r="J79" s="130"/>
      <c r="K79" s="130"/>
      <c r="L79" s="130"/>
    </row>
    <row r="80" spans="1:19" x14ac:dyDescent="0.25">
      <c r="A80" s="58"/>
      <c r="B80" s="27"/>
      <c r="C80" s="27"/>
      <c r="D80" s="27"/>
      <c r="E80" s="27"/>
      <c r="F80" s="27"/>
      <c r="G80" s="130"/>
      <c r="H80" s="130"/>
      <c r="I80" s="130"/>
      <c r="J80" s="130"/>
      <c r="K80" s="130"/>
      <c r="L80" s="130"/>
    </row>
    <row r="81" spans="1:12" x14ac:dyDescent="0.25">
      <c r="A81" s="58"/>
      <c r="B81" s="27"/>
      <c r="C81" s="27"/>
      <c r="D81" s="27"/>
      <c r="E81" s="27"/>
      <c r="F81" s="27"/>
      <c r="G81" s="130"/>
      <c r="H81" s="130"/>
      <c r="I81" s="130"/>
      <c r="J81" s="130"/>
      <c r="K81" s="130"/>
      <c r="L81" s="130"/>
    </row>
    <row r="82" spans="1:12" x14ac:dyDescent="0.25">
      <c r="A82" s="58"/>
      <c r="B82" s="27"/>
      <c r="C82" s="27"/>
      <c r="D82" s="27"/>
      <c r="E82" s="27"/>
      <c r="F82" s="27"/>
      <c r="G82" s="130"/>
      <c r="H82" s="130"/>
      <c r="I82" s="130"/>
      <c r="J82" s="130"/>
      <c r="K82" s="130"/>
      <c r="L82" s="130"/>
    </row>
    <row r="83" spans="1:12" x14ac:dyDescent="0.25">
      <c r="A83" s="58"/>
      <c r="G83" s="130"/>
      <c r="H83" s="130"/>
      <c r="I83" s="130"/>
      <c r="J83" s="130"/>
      <c r="K83" s="130"/>
      <c r="L83" s="130"/>
    </row>
    <row r="84" spans="1:12" x14ac:dyDescent="0.25">
      <c r="A84" s="90"/>
      <c r="G84" s="130"/>
      <c r="H84" s="130"/>
      <c r="I84" s="130"/>
      <c r="J84" s="130"/>
      <c r="K84" s="130"/>
      <c r="L84" s="130"/>
    </row>
    <row r="85" spans="1:12" x14ac:dyDescent="0.25">
      <c r="A85" s="58"/>
      <c r="B85" s="27"/>
      <c r="C85" s="27"/>
      <c r="D85" s="27"/>
      <c r="E85" s="27"/>
      <c r="F85" s="27"/>
      <c r="G85" s="317"/>
      <c r="H85" s="130"/>
      <c r="I85" s="318"/>
      <c r="J85" s="317"/>
      <c r="K85" s="317"/>
      <c r="L85" s="317"/>
    </row>
    <row r="86" spans="1:12" x14ac:dyDescent="0.25">
      <c r="A86" s="58"/>
      <c r="B86" s="27"/>
      <c r="C86" s="27"/>
      <c r="D86" s="27"/>
      <c r="E86" s="27"/>
      <c r="F86" s="27"/>
      <c r="G86" s="317"/>
      <c r="H86" s="130"/>
      <c r="I86" s="318"/>
      <c r="J86" s="317"/>
      <c r="K86" s="317"/>
      <c r="L86" s="317"/>
    </row>
    <row r="87" spans="1:12" x14ac:dyDescent="0.25">
      <c r="A87" s="58"/>
      <c r="G87" s="130"/>
      <c r="H87" s="130"/>
      <c r="I87" s="130"/>
      <c r="J87" s="130"/>
      <c r="K87" s="130"/>
      <c r="L87" s="130"/>
    </row>
    <row r="88" spans="1:12" x14ac:dyDescent="0.25">
      <c r="A88" s="34"/>
      <c r="B88" s="8"/>
      <c r="C88" s="8"/>
      <c r="D88" s="8"/>
      <c r="E88" s="8"/>
      <c r="F88" s="8"/>
      <c r="G88" s="319"/>
      <c r="H88" s="130"/>
      <c r="I88" s="318"/>
      <c r="J88" s="207"/>
      <c r="K88" s="207"/>
      <c r="L88" s="207"/>
    </row>
    <row r="89" spans="1:12" x14ac:dyDescent="0.25">
      <c r="A89" s="58"/>
      <c r="G89" s="130"/>
      <c r="H89" s="130"/>
      <c r="I89" s="130"/>
      <c r="J89" s="130"/>
      <c r="K89" s="130"/>
      <c r="L89" s="130"/>
    </row>
    <row r="90" spans="1:12" x14ac:dyDescent="0.25">
      <c r="A90" s="91"/>
      <c r="B90" s="27"/>
      <c r="C90" s="27"/>
      <c r="D90" s="27"/>
      <c r="E90" s="27"/>
      <c r="F90" s="27"/>
      <c r="G90" s="317"/>
      <c r="H90" s="130"/>
      <c r="I90" s="318"/>
      <c r="J90" s="317"/>
      <c r="K90" s="317"/>
      <c r="L90" s="317"/>
    </row>
    <row r="91" spans="1:12" x14ac:dyDescent="0.25">
      <c r="A91" s="92"/>
      <c r="G91" s="130"/>
      <c r="H91" s="130"/>
      <c r="I91" s="130"/>
      <c r="J91" s="130"/>
      <c r="K91" s="130"/>
      <c r="L91" s="130"/>
    </row>
    <row r="92" spans="1:12" x14ac:dyDescent="0.25">
      <c r="A92" s="58"/>
      <c r="B92" s="27"/>
      <c r="C92" s="27"/>
      <c r="D92" s="27"/>
      <c r="E92" s="27"/>
      <c r="F92" s="27"/>
      <c r="G92" s="317"/>
      <c r="H92" s="130"/>
      <c r="I92" s="318"/>
      <c r="J92" s="317"/>
      <c r="K92" s="317"/>
      <c r="L92" s="317"/>
    </row>
    <row r="93" spans="1:12" x14ac:dyDescent="0.25">
      <c r="A93" s="93"/>
      <c r="G93" s="130"/>
      <c r="H93" s="130"/>
      <c r="I93" s="130"/>
      <c r="J93" s="130"/>
      <c r="K93" s="130"/>
      <c r="L93" s="130"/>
    </row>
    <row r="94" spans="1:12" x14ac:dyDescent="0.25">
      <c r="A94" s="93"/>
      <c r="G94" s="303"/>
      <c r="H94" s="303"/>
      <c r="I94" s="303"/>
      <c r="J94" s="303"/>
      <c r="K94" s="303"/>
      <c r="L94" s="303"/>
    </row>
    <row r="95" spans="1:12" x14ac:dyDescent="0.25">
      <c r="A95" s="58"/>
      <c r="B95" s="27"/>
      <c r="C95" s="27"/>
      <c r="D95" s="27"/>
      <c r="E95" s="27"/>
      <c r="F95" s="27"/>
      <c r="G95" s="317"/>
      <c r="H95" s="130"/>
      <c r="I95" s="318"/>
      <c r="J95" s="317"/>
      <c r="K95" s="317"/>
      <c r="L95" s="317"/>
    </row>
    <row r="96" spans="1:12" x14ac:dyDescent="0.25">
      <c r="A96" s="80"/>
      <c r="C96" s="662"/>
      <c r="D96" s="663"/>
      <c r="E96" s="664"/>
      <c r="G96" s="130"/>
      <c r="H96" s="130"/>
      <c r="I96" s="130"/>
      <c r="J96" s="130"/>
      <c r="K96" s="130"/>
      <c r="L96" s="130"/>
    </row>
    <row r="97" spans="1:12" x14ac:dyDescent="0.25">
      <c r="A97" s="93"/>
      <c r="G97" s="130"/>
      <c r="H97" s="130"/>
      <c r="I97" s="130"/>
      <c r="J97" s="130"/>
      <c r="K97" s="130"/>
      <c r="L97" s="130"/>
    </row>
    <row r="98" spans="1:12" x14ac:dyDescent="0.25">
      <c r="A98" s="93"/>
      <c r="B98" s="12"/>
      <c r="C98" s="12"/>
      <c r="D98" s="12"/>
      <c r="E98" s="12"/>
      <c r="F98" s="12"/>
      <c r="G98" s="320"/>
      <c r="H98" s="320"/>
      <c r="I98" s="320"/>
      <c r="J98" s="320"/>
      <c r="K98" s="320"/>
      <c r="L98" s="320"/>
    </row>
    <row r="99" spans="1:12" x14ac:dyDescent="0.25">
      <c r="A99" s="93"/>
      <c r="B99" s="27"/>
      <c r="C99" s="27"/>
      <c r="D99" s="27"/>
      <c r="E99" s="27"/>
      <c r="G99" s="130"/>
      <c r="H99" s="318"/>
      <c r="I99" s="317"/>
      <c r="J99" s="317"/>
      <c r="K99" s="317"/>
      <c r="L99" s="317"/>
    </row>
    <row r="100" spans="1:12" x14ac:dyDescent="0.25">
      <c r="A100" s="80"/>
    </row>
    <row r="102" spans="1:12" x14ac:dyDescent="0.25">
      <c r="B102" s="33"/>
      <c r="C102" s="33"/>
      <c r="D102" s="33"/>
      <c r="E102" s="33"/>
    </row>
    <row r="103" spans="1:12" x14ac:dyDescent="0.25">
      <c r="B103" s="33"/>
      <c r="C103" s="33"/>
      <c r="D103" s="33"/>
      <c r="E103" s="33"/>
    </row>
    <row r="104" spans="1:12" x14ac:dyDescent="0.25">
      <c r="B104" s="33"/>
      <c r="C104" s="33"/>
      <c r="D104" s="33"/>
      <c r="E104" s="33"/>
    </row>
    <row r="105" spans="1:12" x14ac:dyDescent="0.25">
      <c r="B105" s="38"/>
      <c r="C105" s="38"/>
      <c r="D105" s="38"/>
      <c r="E105" s="38"/>
    </row>
    <row r="107" spans="1:12" x14ac:dyDescent="0.25">
      <c r="B107" s="8"/>
      <c r="C107" s="8"/>
      <c r="D107" s="8"/>
    </row>
    <row r="108" spans="1:12" x14ac:dyDescent="0.25">
      <c r="B108" s="8"/>
      <c r="C108" s="8"/>
      <c r="D108" s="8"/>
    </row>
    <row r="109" spans="1:12" x14ac:dyDescent="0.25">
      <c r="B109" s="8"/>
      <c r="C109" s="8"/>
      <c r="D109" s="8"/>
    </row>
  </sheetData>
  <mergeCells count="6">
    <mergeCell ref="B74:C74"/>
    <mergeCell ref="D74:E74"/>
    <mergeCell ref="F74:F76"/>
    <mergeCell ref="C96:E96"/>
    <mergeCell ref="M50:O54"/>
    <mergeCell ref="G74:L74"/>
  </mergeCells>
  <phoneticPr fontId="4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9485-D0BB-4688-92CA-F73704E14DA1}">
  <dimension ref="A1:M56"/>
  <sheetViews>
    <sheetView showGridLines="0" workbookViewId="0">
      <selection activeCell="A15" sqref="A15"/>
    </sheetView>
  </sheetViews>
  <sheetFormatPr defaultRowHeight="15" x14ac:dyDescent="0.25"/>
  <cols>
    <col min="1" max="1" width="36.85546875" bestFit="1" customWidth="1"/>
    <col min="2" max="6" width="12.140625" bestFit="1" customWidth="1"/>
    <col min="7" max="7" width="15.42578125" customWidth="1"/>
    <col min="8" max="8" width="13.85546875" bestFit="1" customWidth="1"/>
    <col min="9" max="12" width="12.5703125" bestFit="1" customWidth="1"/>
    <col min="13" max="14" width="12.140625" bestFit="1" customWidth="1"/>
  </cols>
  <sheetData>
    <row r="1" spans="1:13" x14ac:dyDescent="0.25">
      <c r="A1" s="208" t="s">
        <v>88</v>
      </c>
    </row>
    <row r="2" spans="1:13" x14ac:dyDescent="0.25">
      <c r="A2" s="20" t="s">
        <v>14</v>
      </c>
    </row>
    <row r="3" spans="1:13" x14ac:dyDescent="0.25">
      <c r="A3" s="9" t="s">
        <v>23</v>
      </c>
      <c r="B3" s="46">
        <v>12</v>
      </c>
      <c r="C3" s="46">
        <v>12</v>
      </c>
      <c r="D3" s="46">
        <v>12</v>
      </c>
      <c r="E3" s="46">
        <v>12</v>
      </c>
      <c r="F3" s="46">
        <v>12</v>
      </c>
      <c r="L3" s="46"/>
      <c r="M3" s="157"/>
    </row>
    <row r="4" spans="1:13" x14ac:dyDescent="0.25">
      <c r="A4" s="21"/>
      <c r="B4" s="11" t="s">
        <v>11</v>
      </c>
      <c r="C4" s="11" t="s">
        <v>12</v>
      </c>
      <c r="D4" s="11" t="s">
        <v>13</v>
      </c>
      <c r="E4" s="11" t="s">
        <v>41</v>
      </c>
      <c r="F4" s="11" t="s">
        <v>42</v>
      </c>
      <c r="L4" s="11"/>
      <c r="M4" s="158"/>
    </row>
    <row r="5" spans="1:13" x14ac:dyDescent="0.25">
      <c r="A5" s="221" t="s">
        <v>40</v>
      </c>
      <c r="B5" s="33">
        <f>'Alphabet-BS'!F31+'Alphabet-BS'!F35</f>
        <v>22574</v>
      </c>
      <c r="C5" s="33">
        <f>B8</f>
        <v>18412</v>
      </c>
      <c r="D5" s="33">
        <f>C8</f>
        <v>13588</v>
      </c>
      <c r="E5" s="33">
        <f>D8</f>
        <v>10277</v>
      </c>
      <c r="F5" s="33">
        <f>E8</f>
        <v>8439</v>
      </c>
      <c r="G5" s="33"/>
      <c r="H5" s="33"/>
      <c r="I5" s="33"/>
      <c r="J5" s="33"/>
      <c r="K5" s="33"/>
      <c r="L5" s="33"/>
    </row>
    <row r="6" spans="1:13" x14ac:dyDescent="0.25">
      <c r="A6" s="221" t="s">
        <v>114</v>
      </c>
      <c r="B6" s="223">
        <v>0</v>
      </c>
      <c r="C6" s="223">
        <v>0</v>
      </c>
      <c r="D6" s="223">
        <v>0</v>
      </c>
      <c r="E6" s="223">
        <v>0</v>
      </c>
      <c r="F6" s="223">
        <v>0</v>
      </c>
      <c r="G6" s="223"/>
      <c r="H6" s="33"/>
      <c r="J6" s="223"/>
      <c r="K6" s="223"/>
      <c r="L6" s="223"/>
    </row>
    <row r="7" spans="1:13" ht="15.75" thickBot="1" x14ac:dyDescent="0.3">
      <c r="A7" s="221" t="s">
        <v>115</v>
      </c>
      <c r="B7" s="223">
        <f>SUM(B15:B16)</f>
        <v>4162</v>
      </c>
      <c r="C7" s="223">
        <f t="shared" ref="C7:F7" si="0">SUM(C15:C16)</f>
        <v>4824</v>
      </c>
      <c r="D7" s="223">
        <f t="shared" si="0"/>
        <v>3311</v>
      </c>
      <c r="E7" s="223">
        <f t="shared" si="0"/>
        <v>1838</v>
      </c>
      <c r="F7" s="223">
        <f t="shared" si="0"/>
        <v>1448</v>
      </c>
      <c r="G7" s="223"/>
      <c r="H7" s="223"/>
      <c r="I7" s="223"/>
      <c r="J7" s="223"/>
      <c r="K7" s="223"/>
      <c r="L7" s="223"/>
    </row>
    <row r="8" spans="1:13" ht="16.5" thickTop="1" thickBot="1" x14ac:dyDescent="0.3">
      <c r="A8" s="222" t="s">
        <v>116</v>
      </c>
      <c r="B8" s="224">
        <f>B5+B6-B7</f>
        <v>18412</v>
      </c>
      <c r="C8" s="224">
        <f t="shared" ref="C8:F8" si="1">C5+C6-C7</f>
        <v>13588</v>
      </c>
      <c r="D8" s="224">
        <f t="shared" si="1"/>
        <v>10277</v>
      </c>
      <c r="E8" s="224">
        <f t="shared" si="1"/>
        <v>8439</v>
      </c>
      <c r="F8" s="224">
        <f t="shared" si="1"/>
        <v>6991</v>
      </c>
    </row>
    <row r="9" spans="1:13" ht="15.75" thickTop="1" x14ac:dyDescent="0.25">
      <c r="B9" s="65"/>
      <c r="C9" s="65"/>
      <c r="D9" s="65"/>
      <c r="E9" s="65"/>
      <c r="F9" s="65"/>
    </row>
    <row r="10" spans="1:13" x14ac:dyDescent="0.25">
      <c r="A10" s="231" t="s">
        <v>118</v>
      </c>
      <c r="B10" s="65">
        <f>B5*$B$18</f>
        <v>767.51600000000008</v>
      </c>
      <c r="C10" s="65">
        <f t="shared" ref="C10:F10" si="2">C5*$B$18</f>
        <v>626.00800000000004</v>
      </c>
      <c r="D10" s="65">
        <f t="shared" si="2"/>
        <v>461.99200000000002</v>
      </c>
      <c r="E10" s="65">
        <f t="shared" si="2"/>
        <v>349.41800000000001</v>
      </c>
      <c r="F10" s="65">
        <f t="shared" si="2"/>
        <v>286.92600000000004</v>
      </c>
    </row>
    <row r="11" spans="1:13" x14ac:dyDescent="0.25">
      <c r="A11" s="6"/>
      <c r="G11" s="117"/>
      <c r="H11" s="117"/>
      <c r="I11" s="117"/>
      <c r="J11" s="117"/>
      <c r="K11" s="117"/>
      <c r="L11" s="117"/>
    </row>
    <row r="12" spans="1:13" x14ac:dyDescent="0.25">
      <c r="A12" s="213" t="s">
        <v>93</v>
      </c>
    </row>
    <row r="13" spans="1:13" ht="15.75" thickBot="1" x14ac:dyDescent="0.3">
      <c r="A13" s="213"/>
    </row>
    <row r="14" spans="1:13" ht="14.45" customHeight="1" x14ac:dyDescent="0.25">
      <c r="A14" s="227" t="s">
        <v>111</v>
      </c>
      <c r="B14" s="11" t="s">
        <v>11</v>
      </c>
      <c r="C14" s="11" t="s">
        <v>12</v>
      </c>
      <c r="D14" s="11" t="s">
        <v>13</v>
      </c>
      <c r="E14" s="11" t="s">
        <v>41</v>
      </c>
      <c r="F14" s="11" t="s">
        <v>42</v>
      </c>
      <c r="G14" s="225"/>
      <c r="H14" s="165"/>
      <c r="I14" s="165"/>
      <c r="J14" s="165"/>
      <c r="K14" s="165"/>
      <c r="L14" s="165"/>
    </row>
    <row r="15" spans="1:13" x14ac:dyDescent="0.25">
      <c r="A15" s="228" t="s">
        <v>112</v>
      </c>
      <c r="B15" s="601">
        <v>1000</v>
      </c>
      <c r="C15" s="601">
        <v>2000</v>
      </c>
      <c r="D15" s="601">
        <v>1000</v>
      </c>
      <c r="E15" s="601">
        <v>0</v>
      </c>
      <c r="F15" s="601">
        <v>0</v>
      </c>
      <c r="G15" s="226"/>
      <c r="H15" s="166"/>
      <c r="I15" s="166"/>
      <c r="J15" s="166"/>
      <c r="K15" s="166"/>
      <c r="L15" s="166"/>
    </row>
    <row r="16" spans="1:13" ht="15.75" thickBot="1" x14ac:dyDescent="0.3">
      <c r="A16" s="229" t="s">
        <v>113</v>
      </c>
      <c r="B16" s="602">
        <v>3162</v>
      </c>
      <c r="C16" s="602">
        <v>2824</v>
      </c>
      <c r="D16" s="602">
        <v>2311</v>
      </c>
      <c r="E16" s="602">
        <v>1838</v>
      </c>
      <c r="F16" s="602">
        <v>1448</v>
      </c>
      <c r="G16" s="101"/>
    </row>
    <row r="17" spans="1:9" x14ac:dyDescent="0.25">
      <c r="A17" s="111"/>
      <c r="B17" s="27"/>
      <c r="F17" s="12"/>
      <c r="G17" s="101"/>
    </row>
    <row r="18" spans="1:9" x14ac:dyDescent="0.25">
      <c r="A18" s="230" t="s">
        <v>117</v>
      </c>
      <c r="B18" s="232">
        <v>3.4000000000000002E-2</v>
      </c>
      <c r="F18" s="12"/>
      <c r="G18" s="101"/>
    </row>
    <row r="19" spans="1:9" x14ac:dyDescent="0.25">
      <c r="A19" s="162"/>
      <c r="B19" s="27"/>
      <c r="F19" s="12"/>
      <c r="G19" s="101"/>
    </row>
    <row r="20" spans="1:9" x14ac:dyDescent="0.25">
      <c r="A20" s="111"/>
      <c r="B20" s="104"/>
      <c r="C20" s="105"/>
      <c r="D20" s="673"/>
      <c r="E20" s="673"/>
      <c r="F20" s="12"/>
      <c r="G20" s="101"/>
    </row>
    <row r="21" spans="1:9" x14ac:dyDescent="0.25">
      <c r="A21" s="162"/>
      <c r="B21" s="108"/>
      <c r="D21" s="673"/>
      <c r="E21" s="673"/>
      <c r="I21" t="s">
        <v>34</v>
      </c>
    </row>
    <row r="22" spans="1:9" x14ac:dyDescent="0.25">
      <c r="A22" s="162"/>
      <c r="B22" s="108"/>
      <c r="D22" s="673"/>
      <c r="E22" s="673"/>
      <c r="G22" s="102"/>
    </row>
    <row r="23" spans="1:9" x14ac:dyDescent="0.25">
      <c r="A23" s="111"/>
      <c r="B23" s="108"/>
      <c r="D23" s="673"/>
      <c r="E23" s="673"/>
    </row>
    <row r="24" spans="1:9" x14ac:dyDescent="0.25">
      <c r="A24" s="111"/>
      <c r="B24" s="108"/>
      <c r="D24" s="673"/>
      <c r="E24" s="673"/>
    </row>
    <row r="25" spans="1:9" x14ac:dyDescent="0.25">
      <c r="A25" s="111"/>
      <c r="B25" s="108"/>
      <c r="D25" s="673"/>
      <c r="E25" s="673"/>
    </row>
    <row r="26" spans="1:9" x14ac:dyDescent="0.25">
      <c r="A26" s="162"/>
      <c r="B26" s="108"/>
      <c r="D26" s="673"/>
      <c r="E26" s="673"/>
    </row>
    <row r="27" spans="1:9" x14ac:dyDescent="0.25">
      <c r="A27" s="2"/>
      <c r="B27" s="108"/>
      <c r="D27" s="106"/>
      <c r="E27" s="107"/>
    </row>
    <row r="28" spans="1:9" x14ac:dyDescent="0.25">
      <c r="A28" s="162"/>
    </row>
    <row r="29" spans="1:9" x14ac:dyDescent="0.25">
      <c r="A29" s="163"/>
      <c r="B29" s="109"/>
    </row>
    <row r="30" spans="1:9" x14ac:dyDescent="0.25">
      <c r="A30" s="163"/>
    </row>
    <row r="31" spans="1:9" x14ac:dyDescent="0.25">
      <c r="A31" s="163"/>
    </row>
    <row r="32" spans="1:9" x14ac:dyDescent="0.25">
      <c r="A32" s="164"/>
    </row>
    <row r="33" spans="1:6" x14ac:dyDescent="0.25">
      <c r="A33" s="163"/>
    </row>
    <row r="34" spans="1:6" x14ac:dyDescent="0.25">
      <c r="A34" s="164"/>
    </row>
    <row r="35" spans="1:6" x14ac:dyDescent="0.25">
      <c r="A35" s="164"/>
    </row>
    <row r="36" spans="1:6" x14ac:dyDescent="0.25">
      <c r="A36" s="163"/>
      <c r="B36" s="672"/>
      <c r="C36" s="672"/>
      <c r="D36" s="672"/>
      <c r="E36" s="672"/>
    </row>
    <row r="37" spans="1:6" x14ac:dyDescent="0.25">
      <c r="A37" s="164"/>
    </row>
    <row r="38" spans="1:6" x14ac:dyDescent="0.25">
      <c r="A38" s="164"/>
      <c r="B38" s="103"/>
      <c r="C38" s="103"/>
      <c r="D38" s="103"/>
      <c r="E38" s="103"/>
      <c r="F38" s="103"/>
    </row>
    <row r="39" spans="1:6" x14ac:dyDescent="0.25">
      <c r="A39" s="164"/>
      <c r="B39" s="33"/>
    </row>
    <row r="40" spans="1:6" x14ac:dyDescent="0.25">
      <c r="A40" s="163"/>
    </row>
    <row r="41" spans="1:6" x14ac:dyDescent="0.25">
      <c r="A41" s="164"/>
    </row>
    <row r="42" spans="1:6" x14ac:dyDescent="0.25">
      <c r="A42" s="164"/>
    </row>
    <row r="43" spans="1:6" x14ac:dyDescent="0.25">
      <c r="A43" s="164"/>
      <c r="B43" s="103"/>
      <c r="C43" s="103"/>
      <c r="D43" s="103"/>
      <c r="E43" s="103"/>
      <c r="F43" s="103"/>
    </row>
    <row r="44" spans="1:6" x14ac:dyDescent="0.25">
      <c r="A44" s="6"/>
    </row>
    <row r="45" spans="1:6" x14ac:dyDescent="0.25">
      <c r="B45" s="33"/>
    </row>
    <row r="46" spans="1:6" x14ac:dyDescent="0.25">
      <c r="B46" s="33"/>
    </row>
    <row r="47" spans="1:6" x14ac:dyDescent="0.25">
      <c r="C47" s="33"/>
      <c r="D47" s="33"/>
      <c r="E47" s="33"/>
      <c r="F47" s="33"/>
    </row>
    <row r="48" spans="1:6" x14ac:dyDescent="0.25">
      <c r="B48" s="33"/>
      <c r="C48" s="33"/>
      <c r="D48" s="33"/>
      <c r="E48" s="33"/>
      <c r="F48" s="33"/>
    </row>
    <row r="50" spans="1:6" x14ac:dyDescent="0.25">
      <c r="A50" s="6"/>
      <c r="B50" s="103"/>
      <c r="C50" s="103"/>
      <c r="D50" s="103"/>
      <c r="E50" s="103"/>
      <c r="F50" s="103"/>
    </row>
    <row r="51" spans="1:6" x14ac:dyDescent="0.25">
      <c r="B51" s="33"/>
    </row>
    <row r="53" spans="1:6" x14ac:dyDescent="0.25">
      <c r="B53" s="33"/>
    </row>
    <row r="56" spans="1:6" x14ac:dyDescent="0.25">
      <c r="B56" s="13"/>
      <c r="C56" s="13"/>
      <c r="D56" s="13"/>
      <c r="E56" s="13"/>
      <c r="F56" s="13"/>
    </row>
  </sheetData>
  <mergeCells count="3">
    <mergeCell ref="B36:C36"/>
    <mergeCell ref="D36:E36"/>
    <mergeCell ref="D20:E26"/>
  </mergeCells>
  <phoneticPr fontId="4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0302-2D00-4F32-A8C9-A4B478AD31FA}">
  <dimension ref="C1:N16"/>
  <sheetViews>
    <sheetView workbookViewId="0">
      <selection activeCell="J3" sqref="J3"/>
    </sheetView>
  </sheetViews>
  <sheetFormatPr defaultRowHeight="15" x14ac:dyDescent="0.25"/>
  <cols>
    <col min="3" max="3" width="39.28515625" customWidth="1"/>
    <col min="5" max="5" width="10.5703125" bestFit="1" customWidth="1"/>
  </cols>
  <sheetData>
    <row r="1" spans="3:14" x14ac:dyDescent="0.25">
      <c r="E1" s="650"/>
      <c r="F1" s="652" t="s">
        <v>328</v>
      </c>
      <c r="G1" s="651"/>
      <c r="H1" s="651"/>
      <c r="I1" s="651"/>
      <c r="J1" s="653"/>
      <c r="K1" s="654" t="s">
        <v>329</v>
      </c>
      <c r="L1" s="653"/>
      <c r="M1" s="653"/>
      <c r="N1" s="653"/>
    </row>
    <row r="2" spans="3:14" x14ac:dyDescent="0.25">
      <c r="E2" s="59" t="s">
        <v>8</v>
      </c>
      <c r="F2" s="59" t="s">
        <v>8</v>
      </c>
      <c r="G2" s="59" t="s">
        <v>8</v>
      </c>
      <c r="H2" s="59" t="s">
        <v>8</v>
      </c>
      <c r="I2" s="59" t="s">
        <v>8</v>
      </c>
      <c r="J2" s="83" t="s">
        <v>8</v>
      </c>
      <c r="K2" s="83" t="s">
        <v>8</v>
      </c>
      <c r="L2" s="83" t="s">
        <v>8</v>
      </c>
      <c r="M2" s="83" t="s">
        <v>8</v>
      </c>
      <c r="N2" s="83" t="s">
        <v>8</v>
      </c>
    </row>
    <row r="3" spans="3:14" ht="30" x14ac:dyDescent="0.25">
      <c r="E3" s="62" t="s">
        <v>3</v>
      </c>
      <c r="F3" s="62" t="s">
        <v>4</v>
      </c>
      <c r="G3" s="62" t="s">
        <v>5</v>
      </c>
      <c r="H3" s="62" t="s">
        <v>9</v>
      </c>
      <c r="I3" s="62" t="s">
        <v>10</v>
      </c>
      <c r="J3" s="62" t="s">
        <v>11</v>
      </c>
      <c r="K3" s="62" t="s">
        <v>12</v>
      </c>
      <c r="L3" s="62" t="s">
        <v>13</v>
      </c>
      <c r="M3" s="62" t="s">
        <v>41</v>
      </c>
      <c r="N3" s="62" t="s">
        <v>42</v>
      </c>
    </row>
    <row r="5" spans="3:14" ht="15.75" x14ac:dyDescent="0.25">
      <c r="C5" s="292" t="s">
        <v>93</v>
      </c>
    </row>
    <row r="6" spans="3:14" ht="15.75" x14ac:dyDescent="0.25">
      <c r="C6" s="292"/>
    </row>
    <row r="7" spans="3:14" ht="15.75" x14ac:dyDescent="0.25">
      <c r="C7" s="293" t="s">
        <v>132</v>
      </c>
      <c r="E7" s="294">
        <f>'Alphabet-IS'!B7/'Alphabet-BS'!B10</f>
        <v>5.9012932428063367</v>
      </c>
      <c r="F7" s="294">
        <f>'Alphabet-IS'!C7/'Alphabet-BS'!C10</f>
        <v>6.5549816812538166</v>
      </c>
      <c r="G7" s="294">
        <f>'Alphabet-IS'!D7/'Alphabet-BS'!D10</f>
        <v>7.0255849768990011</v>
      </c>
      <c r="H7" s="294">
        <f>'Alphabet-IS'!E7/'Alphabet-BS'!E10</f>
        <v>6.408848302893837</v>
      </c>
      <c r="I7" s="294">
        <f>'Alphabet-IS'!F7/'Alphabet-BS'!F10</f>
        <v>6.687390141383263</v>
      </c>
    </row>
    <row r="8" spans="3:14" ht="15.75" x14ac:dyDescent="0.25">
      <c r="C8" s="293" t="s">
        <v>133</v>
      </c>
      <c r="E8" s="174">
        <f>365/E7</f>
        <v>61.850849463367062</v>
      </c>
      <c r="F8" s="174">
        <f t="shared" ref="F8:I8" si="0">365/F7</f>
        <v>55.682840585785428</v>
      </c>
      <c r="G8" s="174">
        <f t="shared" si="0"/>
        <v>51.952969211840077</v>
      </c>
      <c r="H8" s="174">
        <f t="shared" si="0"/>
        <v>56.952510458889897</v>
      </c>
      <c r="I8" s="174">
        <f t="shared" si="0"/>
        <v>54.580335868441054</v>
      </c>
    </row>
    <row r="9" spans="3:14" ht="15.75" x14ac:dyDescent="0.25">
      <c r="C9" s="293" t="s">
        <v>134</v>
      </c>
      <c r="E9" s="174">
        <f>AVERAGE(E8:I8)</f>
        <v>56.203901117664699</v>
      </c>
    </row>
    <row r="10" spans="3:14" ht="15.75" x14ac:dyDescent="0.25">
      <c r="C10" s="293"/>
    </row>
    <row r="11" spans="3:14" ht="15.75" x14ac:dyDescent="0.25">
      <c r="C11" s="293" t="s">
        <v>135</v>
      </c>
      <c r="E11" s="294">
        <f>'Alphabet-IS'!B10/'Alphabet-BS'!B24</f>
        <v>15.160493827160494</v>
      </c>
      <c r="F11" s="294">
        <f>'Alphabet-IS'!C10/'Alphabet-BS'!C24</f>
        <v>18.376511512340567</v>
      </c>
      <c r="G11" s="294">
        <f>'Alphabet-IS'!D10/'Alphabet-BS'!D24</f>
        <v>24.610569422776912</v>
      </c>
      <c r="H11" s="294">
        <f>'Alphabet-IS'!E10/'Alphabet-BS'!E24</f>
        <v>17.794207927398904</v>
      </c>
      <c r="I11" s="294">
        <f>'Alphabet-IS'!F10/'Alphabet-BS'!F24</f>
        <v>18.318016777263054</v>
      </c>
    </row>
    <row r="12" spans="3:14" ht="15.75" x14ac:dyDescent="0.25">
      <c r="C12" s="293" t="s">
        <v>136</v>
      </c>
      <c r="E12" s="174">
        <f>365/E11</f>
        <v>24.075732899022803</v>
      </c>
      <c r="F12" s="174">
        <f t="shared" ref="F12:I12" si="1">365/F11</f>
        <v>19.862311720855605</v>
      </c>
      <c r="G12" s="174">
        <f t="shared" si="1"/>
        <v>14.831026203814488</v>
      </c>
      <c r="H12" s="174">
        <f t="shared" si="1"/>
        <v>20.512292622926232</v>
      </c>
      <c r="I12" s="174">
        <f t="shared" si="1"/>
        <v>19.925737837135863</v>
      </c>
    </row>
    <row r="13" spans="3:14" ht="15.75" x14ac:dyDescent="0.25">
      <c r="C13" s="293" t="s">
        <v>137</v>
      </c>
      <c r="E13" s="174">
        <f>AVERAGE(E12:I12)</f>
        <v>19.841420256751</v>
      </c>
    </row>
    <row r="14" spans="3:14" ht="15.75" x14ac:dyDescent="0.25">
      <c r="C14" s="293"/>
    </row>
    <row r="15" spans="3:14" ht="15.75" x14ac:dyDescent="0.25">
      <c r="C15" s="293" t="s">
        <v>138</v>
      </c>
      <c r="E15">
        <f>AVERAGE('Alphabet-BS'!B8:F8)</f>
        <v>95975</v>
      </c>
    </row>
    <row r="16" spans="3:14" ht="15.75" x14ac:dyDescent="0.25">
      <c r="C16" s="293" t="s">
        <v>139</v>
      </c>
      <c r="E1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3A24-B2A6-4814-BF62-D9E8E0B05ED2}">
  <dimension ref="A1:O43"/>
  <sheetViews>
    <sheetView showGridLines="0" zoomScale="92" workbookViewId="0">
      <selection activeCell="E1" sqref="E1"/>
    </sheetView>
  </sheetViews>
  <sheetFormatPr defaultColWidth="8.7109375" defaultRowHeight="17.25" x14ac:dyDescent="0.3"/>
  <cols>
    <col min="1" max="1" width="42" style="177" customWidth="1"/>
    <col min="2" max="2" width="13" style="177" customWidth="1"/>
    <col min="3" max="5" width="13.7109375" style="177" bestFit="1" customWidth="1"/>
    <col min="6" max="6" width="15.7109375" style="177" customWidth="1"/>
    <col min="7" max="7" width="14.140625" style="177" customWidth="1"/>
    <col min="8" max="8" width="13.85546875" style="177" customWidth="1"/>
    <col min="9" max="14" width="13.7109375" style="177" bestFit="1" customWidth="1"/>
    <col min="15" max="16384" width="8.7109375" style="177"/>
  </cols>
  <sheetData>
    <row r="1" spans="1:14" x14ac:dyDescent="0.3">
      <c r="A1" s="208" t="s">
        <v>88</v>
      </c>
      <c r="B1" s="185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</row>
    <row r="2" spans="1:14" x14ac:dyDescent="0.3">
      <c r="A2" s="178" t="s">
        <v>14</v>
      </c>
      <c r="B2" s="178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</row>
    <row r="3" spans="1:14" x14ac:dyDescent="0.3">
      <c r="A3" s="178"/>
      <c r="B3" s="650"/>
      <c r="C3" s="652" t="s">
        <v>328</v>
      </c>
      <c r="D3" s="651"/>
      <c r="E3" s="651"/>
      <c r="F3" s="651"/>
      <c r="G3" s="653"/>
      <c r="H3" s="654" t="s">
        <v>329</v>
      </c>
      <c r="I3" s="653"/>
      <c r="J3" s="653"/>
      <c r="K3" s="653"/>
      <c r="L3" s="176"/>
      <c r="M3" s="176"/>
    </row>
    <row r="4" spans="1:14" x14ac:dyDescent="0.3">
      <c r="A4" s="679" t="s">
        <v>122</v>
      </c>
      <c r="B4" s="680"/>
      <c r="C4" s="680"/>
      <c r="D4" s="680"/>
      <c r="E4" s="680"/>
      <c r="F4" s="680"/>
      <c r="G4" s="680"/>
      <c r="H4" s="680"/>
      <c r="I4" s="680"/>
      <c r="J4" s="680"/>
      <c r="K4" s="681"/>
      <c r="L4" s="243"/>
      <c r="M4" s="243"/>
      <c r="N4" s="233"/>
    </row>
    <row r="5" spans="1:14" x14ac:dyDescent="0.3">
      <c r="A5" s="244" t="s">
        <v>119</v>
      </c>
      <c r="B5" s="245" t="s">
        <v>8</v>
      </c>
      <c r="C5" s="245" t="s">
        <v>8</v>
      </c>
      <c r="D5" s="245" t="s">
        <v>8</v>
      </c>
      <c r="E5" s="245" t="s">
        <v>8</v>
      </c>
      <c r="F5" s="245" t="s">
        <v>8</v>
      </c>
      <c r="G5" s="246" t="s">
        <v>8</v>
      </c>
      <c r="H5" s="246" t="s">
        <v>8</v>
      </c>
      <c r="I5" s="246" t="s">
        <v>8</v>
      </c>
      <c r="J5" s="246" t="s">
        <v>8</v>
      </c>
      <c r="K5" s="246" t="s">
        <v>8</v>
      </c>
      <c r="L5" s="247"/>
      <c r="M5" s="247"/>
      <c r="N5" s="234"/>
    </row>
    <row r="6" spans="1:14" ht="32.25" customHeight="1" x14ac:dyDescent="0.3">
      <c r="A6" s="248" t="s">
        <v>120</v>
      </c>
      <c r="B6" s="249" t="s">
        <v>3</v>
      </c>
      <c r="C6" s="249" t="s">
        <v>4</v>
      </c>
      <c r="D6" s="249" t="s">
        <v>5</v>
      </c>
      <c r="E6" s="249" t="s">
        <v>9</v>
      </c>
      <c r="F6" s="249" t="s">
        <v>10</v>
      </c>
      <c r="G6" s="250" t="s">
        <v>11</v>
      </c>
      <c r="H6" s="250" t="s">
        <v>12</v>
      </c>
      <c r="I6" s="250" t="s">
        <v>13</v>
      </c>
      <c r="J6" s="250" t="s">
        <v>41</v>
      </c>
      <c r="K6" s="250" t="s">
        <v>42</v>
      </c>
      <c r="L6" s="251"/>
      <c r="M6" s="251"/>
      <c r="N6" s="179"/>
    </row>
    <row r="7" spans="1:14" x14ac:dyDescent="0.3">
      <c r="A7" s="252"/>
      <c r="B7" s="253"/>
      <c r="C7" s="254"/>
      <c r="D7" s="254"/>
      <c r="E7" s="254"/>
      <c r="F7" s="254"/>
      <c r="G7" s="254"/>
      <c r="H7" s="255"/>
      <c r="I7" s="251"/>
      <c r="J7" s="251"/>
      <c r="K7" s="251"/>
      <c r="L7" s="251"/>
      <c r="M7" s="251"/>
      <c r="N7" s="179"/>
    </row>
    <row r="8" spans="1:14" x14ac:dyDescent="0.3">
      <c r="A8" s="256" t="s">
        <v>17</v>
      </c>
      <c r="B8" s="268">
        <v>73646</v>
      </c>
      <c r="C8" s="269">
        <f>B12</f>
        <v>84749</v>
      </c>
      <c r="D8" s="269">
        <f t="shared" ref="D8:F8" si="0">C12</f>
        <v>97599</v>
      </c>
      <c r="E8" s="269">
        <f t="shared" si="0"/>
        <v>112668</v>
      </c>
      <c r="F8" s="269">
        <f t="shared" si="0"/>
        <v>134345</v>
      </c>
      <c r="G8" s="269">
        <f>F12</f>
        <v>171036</v>
      </c>
      <c r="H8" s="270">
        <f>G12</f>
        <v>179436.49837909901</v>
      </c>
      <c r="I8" s="270">
        <f t="shared" ref="I8:K8" si="1">H12</f>
        <v>215065.87178618563</v>
      </c>
      <c r="J8" s="270">
        <f t="shared" si="1"/>
        <v>260731.34980417124</v>
      </c>
      <c r="K8" s="270">
        <f t="shared" si="1"/>
        <v>325369.60641934758</v>
      </c>
      <c r="L8" s="257"/>
      <c r="M8" s="257"/>
      <c r="N8" s="235"/>
    </row>
    <row r="9" spans="1:14" x14ac:dyDescent="0.3">
      <c r="A9" s="256" t="s">
        <v>18</v>
      </c>
      <c r="B9" s="268">
        <v>22281</v>
      </c>
      <c r="C9" s="269">
        <v>24640</v>
      </c>
      <c r="D9" s="269">
        <v>31485</v>
      </c>
      <c r="E9" s="269">
        <v>32251</v>
      </c>
      <c r="F9" s="269">
        <v>52535</v>
      </c>
      <c r="G9" s="285">
        <f>G10-G8</f>
        <v>28747.495532485074</v>
      </c>
      <c r="H9" s="285">
        <f t="shared" ref="H9:K9" si="2">H10-H8</f>
        <v>60016.522735975479</v>
      </c>
      <c r="I9" s="285">
        <f t="shared" si="2"/>
        <v>75230.812162301067</v>
      </c>
      <c r="J9" s="285">
        <f t="shared" si="2"/>
        <v>101533.17217257863</v>
      </c>
      <c r="K9" s="285">
        <f t="shared" si="2"/>
        <v>162311.58476748446</v>
      </c>
      <c r="L9" s="257"/>
      <c r="M9" s="257"/>
      <c r="N9" s="235"/>
    </row>
    <row r="10" spans="1:14" x14ac:dyDescent="0.3">
      <c r="A10" s="258" t="s">
        <v>19</v>
      </c>
      <c r="B10" s="271">
        <f>SUM(B8:B9)</f>
        <v>95927</v>
      </c>
      <c r="C10" s="271">
        <f t="shared" ref="C10:F10" si="3">SUM(C8:C9)</f>
        <v>109389</v>
      </c>
      <c r="D10" s="271">
        <f t="shared" si="3"/>
        <v>129084</v>
      </c>
      <c r="E10" s="271">
        <f t="shared" si="3"/>
        <v>144919</v>
      </c>
      <c r="F10" s="271">
        <f t="shared" si="3"/>
        <v>186880</v>
      </c>
      <c r="G10" s="269">
        <f>'Alphabet-IS'!G7/$B$30</f>
        <v>199783.49553248507</v>
      </c>
      <c r="H10" s="269">
        <f>'Alphabet-IS'!H7/$B$30</f>
        <v>239453.02111507449</v>
      </c>
      <c r="I10" s="269">
        <f>'Alphabet-IS'!I7/$B$30</f>
        <v>290296.68394848669</v>
      </c>
      <c r="J10" s="269">
        <f>'Alphabet-IS'!J7/$B$30</f>
        <v>362264.52197674988</v>
      </c>
      <c r="K10" s="269">
        <f>'Alphabet-IS'!K7/$B$30</f>
        <v>487681.19118683203</v>
      </c>
      <c r="L10" s="257"/>
      <c r="M10" s="257"/>
      <c r="N10" s="235"/>
    </row>
    <row r="11" spans="1:14" ht="18" thickBot="1" x14ac:dyDescent="0.35">
      <c r="A11" s="259" t="s">
        <v>20</v>
      </c>
      <c r="B11" s="268">
        <f>B10-B12</f>
        <v>11178</v>
      </c>
      <c r="C11" s="268">
        <f t="shared" ref="C11:F11" si="4">C10-C12</f>
        <v>11790</v>
      </c>
      <c r="D11" s="268">
        <f t="shared" si="4"/>
        <v>16416</v>
      </c>
      <c r="E11" s="268">
        <f t="shared" si="4"/>
        <v>10574</v>
      </c>
      <c r="F11" s="268">
        <f t="shared" si="4"/>
        <v>15844</v>
      </c>
      <c r="G11" s="287">
        <f>G10*$B$32</f>
        <v>20346.997153386063</v>
      </c>
      <c r="H11" s="287">
        <f t="shared" ref="H11:K11" si="5">H10*$B$32</f>
        <v>24387.149328888856</v>
      </c>
      <c r="I11" s="287">
        <f t="shared" si="5"/>
        <v>29565.334144315439</v>
      </c>
      <c r="J11" s="287">
        <f t="shared" si="5"/>
        <v>36894.915557402281</v>
      </c>
      <c r="K11" s="287">
        <f t="shared" si="5"/>
        <v>49668.005769900679</v>
      </c>
      <c r="L11" s="257"/>
      <c r="M11" s="257"/>
      <c r="N11" s="235"/>
    </row>
    <row r="12" spans="1:14" ht="14.45" customHeight="1" thickTop="1" thickBot="1" x14ac:dyDescent="0.35">
      <c r="A12" s="260" t="s">
        <v>121</v>
      </c>
      <c r="B12" s="286">
        <f>'Alphabet-BS'!B15</f>
        <v>84749</v>
      </c>
      <c r="C12" s="286">
        <f>'Alphabet-BS'!C15</f>
        <v>97599</v>
      </c>
      <c r="D12" s="286">
        <f>'Alphabet-BS'!D15</f>
        <v>112668</v>
      </c>
      <c r="E12" s="286">
        <f>'Alphabet-BS'!E15</f>
        <v>134345</v>
      </c>
      <c r="F12" s="286">
        <f>'Alphabet-BS'!F15</f>
        <v>171036</v>
      </c>
      <c r="G12" s="677">
        <f>G10-G11</f>
        <v>179436.49837909901</v>
      </c>
      <c r="H12" s="682">
        <f>H10-H11</f>
        <v>215065.87178618563</v>
      </c>
      <c r="I12" s="682">
        <f t="shared" ref="I12:K12" si="6">I10-I11</f>
        <v>260731.34980417124</v>
      </c>
      <c r="J12" s="682">
        <f t="shared" si="6"/>
        <v>325369.60641934758</v>
      </c>
      <c r="K12" s="682">
        <f t="shared" si="6"/>
        <v>438013.18541693134</v>
      </c>
      <c r="L12" s="288"/>
      <c r="M12" s="288"/>
      <c r="N12" s="235"/>
    </row>
    <row r="13" spans="1:14" ht="14.45" customHeight="1" thickTop="1" x14ac:dyDescent="0.3">
      <c r="A13" s="261"/>
      <c r="B13" s="261"/>
      <c r="C13" s="257"/>
      <c r="D13" s="257"/>
      <c r="E13" s="257"/>
      <c r="F13" s="257"/>
      <c r="G13" s="678"/>
      <c r="H13" s="683"/>
      <c r="I13" s="683"/>
      <c r="J13" s="683"/>
      <c r="K13" s="683"/>
      <c r="L13" s="257"/>
      <c r="M13" s="257"/>
      <c r="N13" s="235"/>
    </row>
    <row r="14" spans="1:14" x14ac:dyDescent="0.3">
      <c r="A14" s="176"/>
      <c r="B14" s="176"/>
      <c r="C14" s="236"/>
      <c r="D14" s="236"/>
      <c r="E14" s="236"/>
      <c r="F14" s="236"/>
      <c r="G14" s="236"/>
      <c r="H14" s="181"/>
      <c r="I14" s="199"/>
      <c r="J14" s="236"/>
      <c r="K14" s="236"/>
      <c r="L14" s="236"/>
      <c r="M14" s="236"/>
      <c r="N14" s="235"/>
    </row>
    <row r="15" spans="1:14" x14ac:dyDescent="0.3">
      <c r="A15" s="679" t="s">
        <v>123</v>
      </c>
      <c r="B15" s="680"/>
      <c r="C15" s="680"/>
      <c r="D15" s="680"/>
      <c r="E15" s="680"/>
      <c r="F15" s="680"/>
      <c r="G15" s="680"/>
      <c r="H15" s="680"/>
      <c r="I15" s="680"/>
      <c r="J15" s="680"/>
      <c r="K15" s="681"/>
      <c r="L15" s="235"/>
      <c r="M15" s="235"/>
      <c r="N15" s="235"/>
    </row>
    <row r="16" spans="1:14" ht="31.5" x14ac:dyDescent="0.3">
      <c r="A16" s="244" t="s">
        <v>124</v>
      </c>
      <c r="B16" s="249" t="s">
        <v>3</v>
      </c>
      <c r="C16" s="249" t="s">
        <v>4</v>
      </c>
      <c r="D16" s="249" t="s">
        <v>5</v>
      </c>
      <c r="E16" s="249" t="s">
        <v>9</v>
      </c>
      <c r="F16" s="249" t="s">
        <v>10</v>
      </c>
      <c r="G16" s="250" t="s">
        <v>11</v>
      </c>
      <c r="H16" s="250" t="s">
        <v>12</v>
      </c>
      <c r="I16" s="250" t="s">
        <v>13</v>
      </c>
      <c r="J16" s="250" t="s">
        <v>41</v>
      </c>
      <c r="K16" s="250" t="s">
        <v>42</v>
      </c>
      <c r="L16" s="235"/>
      <c r="M16" s="235"/>
      <c r="N16" s="235"/>
    </row>
    <row r="17" spans="1:15" x14ac:dyDescent="0.3">
      <c r="A17" s="262" t="s">
        <v>120</v>
      </c>
      <c r="B17" s="263"/>
      <c r="C17" s="263"/>
      <c r="D17" s="263"/>
      <c r="E17" s="263"/>
      <c r="F17" s="263"/>
      <c r="G17" s="263"/>
      <c r="H17" s="263"/>
      <c r="I17" s="263"/>
      <c r="J17" s="263"/>
      <c r="K17" s="264"/>
      <c r="L17" s="196"/>
      <c r="M17" s="196"/>
      <c r="N17" s="196"/>
      <c r="O17" s="182"/>
    </row>
    <row r="18" spans="1:15" x14ac:dyDescent="0.3">
      <c r="A18" s="252"/>
      <c r="B18" s="265"/>
      <c r="C18" s="265"/>
      <c r="D18" s="265"/>
      <c r="E18" s="265"/>
      <c r="F18" s="265"/>
      <c r="G18" s="265"/>
      <c r="H18" s="265"/>
      <c r="I18" s="265"/>
      <c r="J18" s="265"/>
      <c r="K18" s="266"/>
      <c r="L18" s="196"/>
      <c r="M18" s="196"/>
      <c r="N18" s="196"/>
      <c r="O18" s="182"/>
    </row>
    <row r="19" spans="1:15" x14ac:dyDescent="0.3">
      <c r="A19" s="256" t="s">
        <v>17</v>
      </c>
      <c r="B19" s="269">
        <v>1979</v>
      </c>
      <c r="C19" s="269">
        <f>B23</f>
        <v>1445</v>
      </c>
      <c r="D19" s="269">
        <f t="shared" ref="D19:K19" si="7">C23</f>
        <v>1417</v>
      </c>
      <c r="E19" s="269">
        <f t="shared" si="7"/>
        <v>2084</v>
      </c>
      <c r="F19" s="269">
        <f t="shared" si="7"/>
        <v>1674.3333333333333</v>
      </c>
      <c r="G19" s="269">
        <f t="shared" si="7"/>
        <v>1674.3333333333333</v>
      </c>
      <c r="H19" s="269">
        <f t="shared" si="7"/>
        <v>1674.3333333333333</v>
      </c>
      <c r="I19" s="269">
        <f t="shared" si="7"/>
        <v>1674.3333333333333</v>
      </c>
      <c r="J19" s="269">
        <f t="shared" si="7"/>
        <v>1674.3333333333333</v>
      </c>
      <c r="K19" s="269">
        <f t="shared" si="7"/>
        <v>1674.3333333333333</v>
      </c>
      <c r="L19" s="181"/>
      <c r="M19" s="181"/>
      <c r="N19" s="196"/>
      <c r="O19" s="182"/>
    </row>
    <row r="20" spans="1:15" x14ac:dyDescent="0.3">
      <c r="A20" s="256" t="s">
        <v>18</v>
      </c>
      <c r="B20" s="269">
        <v>0</v>
      </c>
      <c r="C20" s="269">
        <v>0</v>
      </c>
      <c r="D20" s="269">
        <v>0</v>
      </c>
      <c r="E20" s="269">
        <v>0</v>
      </c>
      <c r="F20" s="269">
        <v>0</v>
      </c>
      <c r="G20" s="269">
        <v>0</v>
      </c>
      <c r="H20" s="269">
        <v>0</v>
      </c>
      <c r="I20" s="269">
        <v>0</v>
      </c>
      <c r="J20" s="269">
        <v>0</v>
      </c>
      <c r="K20" s="289">
        <v>0</v>
      </c>
      <c r="L20" s="181"/>
      <c r="M20" s="181"/>
      <c r="N20" s="196"/>
      <c r="O20" s="182"/>
    </row>
    <row r="21" spans="1:15" x14ac:dyDescent="0.3">
      <c r="A21" s="258" t="s">
        <v>125</v>
      </c>
      <c r="B21" s="290">
        <f>SUM(B19:B20)</f>
        <v>1979</v>
      </c>
      <c r="C21" s="290">
        <f t="shared" ref="C21:K21" si="8">SUM(C19:C20)</f>
        <v>1445</v>
      </c>
      <c r="D21" s="290">
        <f t="shared" si="8"/>
        <v>1417</v>
      </c>
      <c r="E21" s="290">
        <f t="shared" si="8"/>
        <v>2084</v>
      </c>
      <c r="F21" s="290">
        <f t="shared" si="8"/>
        <v>1674.3333333333333</v>
      </c>
      <c r="G21" s="290">
        <f t="shared" si="8"/>
        <v>1674.3333333333333</v>
      </c>
      <c r="H21" s="290">
        <f t="shared" si="8"/>
        <v>1674.3333333333333</v>
      </c>
      <c r="I21" s="290">
        <f t="shared" si="8"/>
        <v>1674.3333333333333</v>
      </c>
      <c r="J21" s="290">
        <f t="shared" si="8"/>
        <v>1674.3333333333333</v>
      </c>
      <c r="K21" s="290">
        <f t="shared" si="8"/>
        <v>1674.3333333333333</v>
      </c>
      <c r="L21" s="181"/>
      <c r="M21" s="181"/>
      <c r="N21" s="196"/>
      <c r="O21" s="182"/>
    </row>
    <row r="22" spans="1:15" ht="18" thickBot="1" x14ac:dyDescent="0.35">
      <c r="A22" s="267" t="s">
        <v>126</v>
      </c>
      <c r="B22" s="269">
        <f>B21-B23</f>
        <v>534</v>
      </c>
      <c r="C22" s="269">
        <f t="shared" ref="C22" si="9">C21-C23</f>
        <v>28</v>
      </c>
      <c r="D22" s="269">
        <f>D23-D21</f>
        <v>667</v>
      </c>
      <c r="E22" s="269">
        <f>AVERAGE(B22:D22)</f>
        <v>409.66666666666669</v>
      </c>
      <c r="F22" s="269">
        <v>0</v>
      </c>
      <c r="G22" s="269">
        <v>0</v>
      </c>
      <c r="H22" s="269">
        <v>0</v>
      </c>
      <c r="I22" s="269">
        <v>0</v>
      </c>
      <c r="J22" s="269">
        <v>0</v>
      </c>
      <c r="K22" s="269">
        <v>0</v>
      </c>
      <c r="L22" s="196"/>
      <c r="M22" s="196"/>
      <c r="N22" s="196"/>
      <c r="O22" s="182"/>
    </row>
    <row r="23" spans="1:15" ht="18.75" thickTop="1" thickBot="1" x14ac:dyDescent="0.35">
      <c r="A23" s="260" t="s">
        <v>121</v>
      </c>
      <c r="B23" s="291">
        <v>1445</v>
      </c>
      <c r="C23" s="291">
        <v>1417</v>
      </c>
      <c r="D23" s="291">
        <v>2084</v>
      </c>
      <c r="E23" s="291">
        <f>E21-E22</f>
        <v>1674.3333333333333</v>
      </c>
      <c r="F23" s="291">
        <f>F21-F22</f>
        <v>1674.3333333333333</v>
      </c>
      <c r="G23" s="291">
        <f>G21-G22</f>
        <v>1674.3333333333333</v>
      </c>
      <c r="H23" s="291">
        <f t="shared" ref="H23:K23" si="10">H21-H22</f>
        <v>1674.3333333333333</v>
      </c>
      <c r="I23" s="291">
        <f t="shared" si="10"/>
        <v>1674.3333333333333</v>
      </c>
      <c r="J23" s="291">
        <f t="shared" si="10"/>
        <v>1674.3333333333333</v>
      </c>
      <c r="K23" s="291">
        <f t="shared" si="10"/>
        <v>1674.3333333333333</v>
      </c>
    </row>
    <row r="24" spans="1:15" ht="18" thickTop="1" x14ac:dyDescent="0.3">
      <c r="A24" s="184"/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</row>
    <row r="25" spans="1:15" x14ac:dyDescent="0.3">
      <c r="A25" s="185"/>
      <c r="B25" s="185"/>
      <c r="C25" s="237"/>
      <c r="D25" s="237"/>
      <c r="E25" s="237"/>
      <c r="F25" s="237"/>
      <c r="G25" s="237"/>
      <c r="H25" s="238"/>
      <c r="I25" s="239"/>
      <c r="J25" s="239"/>
      <c r="K25" s="239"/>
      <c r="L25" s="239"/>
      <c r="M25" s="239"/>
      <c r="N25" s="239"/>
    </row>
    <row r="26" spans="1:15" x14ac:dyDescent="0.3">
      <c r="A26" s="213" t="s">
        <v>93</v>
      </c>
      <c r="B26"/>
      <c r="C26"/>
      <c r="D26"/>
      <c r="E26"/>
      <c r="F26"/>
      <c r="G26" s="240"/>
      <c r="H26" s="241"/>
      <c r="I26" s="242"/>
      <c r="J26" s="242"/>
      <c r="K26" s="242"/>
      <c r="L26" s="242"/>
      <c r="M26" s="242"/>
      <c r="N26" s="242"/>
    </row>
    <row r="27" spans="1:15" ht="18" thickBot="1" x14ac:dyDescent="0.35">
      <c r="A27" s="213"/>
      <c r="B27"/>
      <c r="C27"/>
      <c r="D27"/>
      <c r="E27"/>
      <c r="F27"/>
      <c r="G27" s="184"/>
      <c r="H27" s="184"/>
      <c r="I27" s="184"/>
      <c r="J27" s="184"/>
      <c r="K27" s="184"/>
      <c r="L27" s="184"/>
      <c r="M27" s="184"/>
      <c r="N27" s="184"/>
    </row>
    <row r="28" spans="1:15" ht="32.25" thickBot="1" x14ac:dyDescent="0.35">
      <c r="A28" s="274" t="s">
        <v>127</v>
      </c>
      <c r="B28" s="278" t="s">
        <v>3</v>
      </c>
      <c r="C28" s="278" t="s">
        <v>4</v>
      </c>
      <c r="D28" s="278" t="s">
        <v>5</v>
      </c>
      <c r="E28" s="278" t="s">
        <v>9</v>
      </c>
      <c r="F28" s="278" t="s">
        <v>10</v>
      </c>
      <c r="G28" s="184"/>
      <c r="H28" s="184"/>
      <c r="I28" s="184"/>
      <c r="J28" s="186"/>
      <c r="K28" s="186"/>
      <c r="L28" s="186"/>
      <c r="M28" s="186"/>
      <c r="N28" s="184"/>
    </row>
    <row r="29" spans="1:15" x14ac:dyDescent="0.3">
      <c r="A29" s="275" t="s">
        <v>128</v>
      </c>
      <c r="B29" s="279">
        <f>'Alphabet-IS'!B7/B10</f>
        <v>1.902769814546478</v>
      </c>
      <c r="C29" s="279">
        <f>'Alphabet-IS'!C7/C10</f>
        <v>2.3552368154019141</v>
      </c>
      <c r="D29" s="279">
        <f>'Alphabet-IS'!D7/D10</f>
        <v>2.1911003687521302</v>
      </c>
      <c r="E29" s="279">
        <f>'Alphabet-IS'!E7/E10</f>
        <v>2.1211435353542325</v>
      </c>
      <c r="F29" s="279">
        <f>'Alphabet-IS'!F7/F10</f>
        <v>1.8729559075342466</v>
      </c>
      <c r="G29" s="187"/>
      <c r="H29" s="184"/>
      <c r="I29" s="188"/>
      <c r="J29" s="188"/>
      <c r="K29" s="188"/>
      <c r="L29" s="188"/>
      <c r="M29" s="188"/>
      <c r="N29" s="184"/>
    </row>
    <row r="30" spans="1:15" x14ac:dyDescent="0.3">
      <c r="A30" s="276" t="s">
        <v>129</v>
      </c>
      <c r="B30" s="280">
        <f>AVERAGE(B29:F29)</f>
        <v>2.0886412883177998</v>
      </c>
      <c r="C30" s="281"/>
      <c r="D30" s="281"/>
      <c r="E30" s="281"/>
      <c r="F30" s="282"/>
      <c r="G30" s="190"/>
      <c r="H30" s="184"/>
      <c r="I30" s="191"/>
      <c r="J30" s="191"/>
      <c r="K30" s="191"/>
      <c r="L30" s="191"/>
      <c r="M30" s="191"/>
      <c r="N30" s="184"/>
    </row>
    <row r="31" spans="1:15" x14ac:dyDescent="0.3">
      <c r="A31" s="275" t="s">
        <v>130</v>
      </c>
      <c r="B31" s="283">
        <f>B11/B10</f>
        <v>0.1165261083949253</v>
      </c>
      <c r="C31" s="283">
        <f t="shared" ref="C31:F31" si="11">C11/C10</f>
        <v>0.10778048981158983</v>
      </c>
      <c r="D31" s="283">
        <f t="shared" si="11"/>
        <v>0.12717300362554615</v>
      </c>
      <c r="E31" s="283">
        <f t="shared" si="11"/>
        <v>7.2964897632470549E-2</v>
      </c>
      <c r="F31" s="283">
        <f t="shared" si="11"/>
        <v>8.478167808219178E-2</v>
      </c>
      <c r="G31" s="192"/>
      <c r="H31" s="184"/>
      <c r="I31" s="193"/>
      <c r="J31" s="193"/>
      <c r="K31" s="193"/>
      <c r="L31" s="193"/>
      <c r="M31" s="193"/>
      <c r="N31" s="184"/>
    </row>
    <row r="32" spans="1:15" ht="18" thickBot="1" x14ac:dyDescent="0.35">
      <c r="A32" s="277" t="s">
        <v>131</v>
      </c>
      <c r="B32" s="284">
        <f>AVERAGE(B31:F31)</f>
        <v>0.10184523550934473</v>
      </c>
      <c r="C32" s="272"/>
      <c r="D32" s="272"/>
      <c r="E32" s="272"/>
      <c r="F32" s="273"/>
      <c r="G32" s="189"/>
      <c r="H32" s="184"/>
      <c r="I32" s="191"/>
      <c r="J32" s="191"/>
      <c r="K32" s="191"/>
      <c r="L32" s="191"/>
      <c r="M32" s="191"/>
      <c r="N32" s="184"/>
    </row>
    <row r="33" spans="1:14" x14ac:dyDescent="0.3">
      <c r="A33" s="194"/>
      <c r="B33" s="194"/>
      <c r="C33" s="674"/>
      <c r="D33" s="675"/>
      <c r="E33" s="674"/>
      <c r="F33" s="675"/>
      <c r="G33" s="676"/>
      <c r="H33" s="184"/>
      <c r="I33" s="674"/>
      <c r="J33" s="674"/>
      <c r="K33" s="674"/>
      <c r="L33" s="674"/>
      <c r="M33" s="674"/>
      <c r="N33" s="184"/>
    </row>
    <row r="34" spans="1:14" x14ac:dyDescent="0.3">
      <c r="A34" s="184"/>
      <c r="B34" s="184"/>
      <c r="C34" s="195"/>
      <c r="D34" s="184"/>
      <c r="E34" s="184"/>
      <c r="F34" s="193"/>
      <c r="G34" s="676"/>
      <c r="H34" s="184"/>
      <c r="I34" s="184"/>
      <c r="J34" s="184"/>
      <c r="K34" s="184"/>
      <c r="L34" s="184"/>
      <c r="M34" s="184"/>
      <c r="N34" s="184"/>
    </row>
    <row r="35" spans="1:14" x14ac:dyDescent="0.3">
      <c r="A35" s="176"/>
      <c r="B35" s="176"/>
      <c r="C35" s="196"/>
      <c r="D35" s="196"/>
      <c r="E35" s="196"/>
      <c r="F35" s="196"/>
      <c r="I35" s="183"/>
      <c r="J35" s="197"/>
      <c r="K35" s="197"/>
      <c r="L35" s="197"/>
      <c r="M35" s="197"/>
    </row>
    <row r="37" spans="1:14" x14ac:dyDescent="0.3">
      <c r="A37" s="176"/>
      <c r="B37" s="176"/>
      <c r="D37" s="198"/>
      <c r="E37" s="198"/>
      <c r="F37" s="198"/>
      <c r="G37" s="198"/>
      <c r="I37" s="198"/>
      <c r="J37" s="198"/>
      <c r="K37" s="198"/>
      <c r="L37" s="198"/>
      <c r="M37" s="198"/>
    </row>
    <row r="40" spans="1:14" x14ac:dyDescent="0.3">
      <c r="C40" s="198"/>
      <c r="D40" s="198"/>
      <c r="E40" s="198"/>
      <c r="F40" s="198"/>
    </row>
    <row r="41" spans="1:14" x14ac:dyDescent="0.3">
      <c r="C41" s="198"/>
      <c r="D41" s="198"/>
      <c r="E41" s="198"/>
      <c r="F41" s="198"/>
    </row>
    <row r="42" spans="1:14" x14ac:dyDescent="0.3">
      <c r="C42" s="180"/>
      <c r="D42" s="180"/>
      <c r="E42" s="180"/>
      <c r="F42" s="180"/>
    </row>
    <row r="43" spans="1:14" x14ac:dyDescent="0.3">
      <c r="C43" s="198"/>
      <c r="D43" s="198"/>
      <c r="E43" s="198"/>
      <c r="F43" s="198"/>
    </row>
  </sheetData>
  <mergeCells count="11">
    <mergeCell ref="A4:K4"/>
    <mergeCell ref="A15:K15"/>
    <mergeCell ref="H12:H13"/>
    <mergeCell ref="I12:I13"/>
    <mergeCell ref="J12:J13"/>
    <mergeCell ref="K12:K13"/>
    <mergeCell ref="I33:M33"/>
    <mergeCell ref="C33:D33"/>
    <mergeCell ref="E33:F33"/>
    <mergeCell ref="G33:G34"/>
    <mergeCell ref="G12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7D86-A9D6-428C-81DD-4D0DB018AB1F}">
  <dimension ref="A1:I40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" sqref="B1"/>
    </sheetView>
  </sheetViews>
  <sheetFormatPr defaultRowHeight="15" x14ac:dyDescent="0.25"/>
  <cols>
    <col min="1" max="1" width="44" bestFit="1" customWidth="1"/>
    <col min="2" max="6" width="12.140625" bestFit="1" customWidth="1"/>
    <col min="7" max="7" width="10" bestFit="1" customWidth="1"/>
  </cols>
  <sheetData>
    <row r="1" spans="1:9" x14ac:dyDescent="0.25">
      <c r="A1" s="208" t="s">
        <v>88</v>
      </c>
    </row>
    <row r="2" spans="1:9" x14ac:dyDescent="0.25">
      <c r="A2" s="58" t="s">
        <v>14</v>
      </c>
    </row>
    <row r="3" spans="1:9" x14ac:dyDescent="0.25">
      <c r="A3" s="56" t="s">
        <v>22</v>
      </c>
      <c r="B3" s="83">
        <v>12</v>
      </c>
      <c r="C3" s="83">
        <v>12</v>
      </c>
      <c r="D3" s="83">
        <v>12</v>
      </c>
      <c r="E3" s="83">
        <v>12</v>
      </c>
      <c r="F3" s="83">
        <v>12</v>
      </c>
      <c r="G3" s="83"/>
    </row>
    <row r="4" spans="1:9" x14ac:dyDescent="0.25">
      <c r="A4" s="61"/>
      <c r="B4" s="64">
        <v>46022</v>
      </c>
      <c r="C4" s="64">
        <v>46387</v>
      </c>
      <c r="D4" s="64">
        <v>46752</v>
      </c>
      <c r="E4" s="64">
        <v>47118</v>
      </c>
      <c r="F4" s="64">
        <v>47483</v>
      </c>
      <c r="G4" s="64"/>
    </row>
    <row r="5" spans="1:9" x14ac:dyDescent="0.25">
      <c r="A5" s="57"/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59" t="s">
        <v>79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60" t="s">
        <v>24</v>
      </c>
      <c r="B7" s="13">
        <f>'Alphabet-IS'!G33</f>
        <v>118249.44545644897</v>
      </c>
      <c r="C7" s="13">
        <f>'Alphabet-IS'!H33</f>
        <v>147948.20276392417</v>
      </c>
      <c r="D7" s="13">
        <f>'Alphabet-IS'!I33</f>
        <v>187512.82525683776</v>
      </c>
      <c r="E7" s="13">
        <f>'Alphabet-IS'!J33</f>
        <v>246622.59190569934</v>
      </c>
      <c r="F7" s="13">
        <f>'Alphabet-IS'!K33</f>
        <v>357043.48556115845</v>
      </c>
      <c r="G7" s="13"/>
      <c r="H7" s="13"/>
      <c r="I7" s="13"/>
    </row>
    <row r="8" spans="1:9" x14ac:dyDescent="0.25">
      <c r="A8" s="96" t="s">
        <v>80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95" t="s">
        <v>81</v>
      </c>
      <c r="B9" s="13">
        <f>'Alphabet-IS'!G36</f>
        <v>20346.997153386063</v>
      </c>
      <c r="C9" s="13">
        <f>'Alphabet-IS'!H36</f>
        <v>24387.149328888856</v>
      </c>
      <c r="D9" s="13">
        <f>'Alphabet-IS'!I36</f>
        <v>29565.334144315439</v>
      </c>
      <c r="E9" s="13">
        <f>'Alphabet-IS'!J36</f>
        <v>36894.915557402281</v>
      </c>
      <c r="F9" s="13">
        <f>'Alphabet-IS'!K36</f>
        <v>49668.005769900679</v>
      </c>
      <c r="G9" s="13"/>
      <c r="H9" s="13"/>
      <c r="I9" s="13"/>
    </row>
    <row r="10" spans="1:9" x14ac:dyDescent="0.25">
      <c r="A10" s="95" t="s">
        <v>25</v>
      </c>
      <c r="B10" s="13"/>
      <c r="C10" s="13"/>
      <c r="D10" s="13"/>
      <c r="E10" s="13"/>
      <c r="F10" s="13"/>
      <c r="G10" s="13"/>
      <c r="H10" s="13"/>
      <c r="I10" s="13"/>
    </row>
    <row r="11" spans="1:9" x14ac:dyDescent="0.25">
      <c r="A11" s="160" t="s">
        <v>82</v>
      </c>
      <c r="B11" s="97">
        <f>SUM(B13:B14)</f>
        <v>-9952.7591638841386</v>
      </c>
      <c r="C11" s="97">
        <f t="shared" ref="C11:F11" si="0">SUM(C13:C14)</f>
        <v>-10783.091449530431</v>
      </c>
      <c r="D11" s="97">
        <f t="shared" si="0"/>
        <v>-13820.479522003623</v>
      </c>
      <c r="E11" s="97">
        <f t="shared" si="0"/>
        <v>-19562.517259453965</v>
      </c>
      <c r="F11" s="97">
        <f t="shared" si="0"/>
        <v>-34091.141588579267</v>
      </c>
      <c r="G11" s="97"/>
      <c r="H11" s="13"/>
      <c r="I11" s="13"/>
    </row>
    <row r="12" spans="1:9" x14ac:dyDescent="0.25">
      <c r="A12" s="96"/>
      <c r="B12" s="97"/>
      <c r="C12" s="97"/>
      <c r="D12" s="97"/>
      <c r="E12" s="97"/>
      <c r="F12" s="97"/>
      <c r="G12" s="97"/>
      <c r="H12" s="13"/>
      <c r="I12" s="13"/>
    </row>
    <row r="13" spans="1:9" x14ac:dyDescent="0.25">
      <c r="A13" s="161" t="s">
        <v>149</v>
      </c>
      <c r="B13" s="417">
        <f>'Alphabet-BS'!F10-'Alphabet-BS'!G10</f>
        <v>-11913.540477094342</v>
      </c>
      <c r="C13" s="417">
        <f>'Alphabet-BS'!G10-'Alphabet-BS'!H10</f>
        <v>-12758.348535920886</v>
      </c>
      <c r="D13" s="417">
        <f>'Alphabet-BS'!H10-'Alphabet-BS'!I10</f>
        <v>-16352.128283485712</v>
      </c>
      <c r="E13" s="417">
        <f>'Alphabet-BS'!I10-'Alphabet-BS'!J10</f>
        <v>-23145.998028881615</v>
      </c>
      <c r="F13" s="417">
        <f>'Alphabet-BS'!J10-'Alphabet-BS'!K10</f>
        <v>-40335.989767893741</v>
      </c>
      <c r="G13" s="97"/>
      <c r="H13" s="13"/>
      <c r="I13" s="13"/>
    </row>
    <row r="14" spans="1:9" x14ac:dyDescent="0.25">
      <c r="A14" s="95" t="s">
        <v>53</v>
      </c>
      <c r="B14" s="13">
        <f>'Alphabet-BS'!G24-'Alphabet-BS'!F24</f>
        <v>1960.7813132102037</v>
      </c>
      <c r="C14" s="13">
        <f>'Alphabet-BS'!H24-'Alphabet-BS'!G24</f>
        <v>1975.2570863904548</v>
      </c>
      <c r="D14" s="13">
        <f>'Alphabet-BS'!I24-'Alphabet-BS'!H24</f>
        <v>2531.648761482089</v>
      </c>
      <c r="E14" s="13">
        <f>'Alphabet-BS'!J24-'Alphabet-BS'!I24</f>
        <v>3583.4807694276496</v>
      </c>
      <c r="F14" s="13">
        <f>'Alphabet-BS'!K24-'Alphabet-BS'!J24</f>
        <v>6244.8481793144747</v>
      </c>
      <c r="G14" s="13"/>
      <c r="H14" s="13"/>
      <c r="I14" s="13"/>
    </row>
    <row r="15" spans="1:9" x14ac:dyDescent="0.25">
      <c r="A15" s="160" t="s">
        <v>6</v>
      </c>
      <c r="B15" s="26">
        <f>SUM(B7,B9,B13,B14)</f>
        <v>128643.6834459509</v>
      </c>
      <c r="C15" s="26">
        <f t="shared" ref="C15:F15" si="1">SUM(C7,C9,C13,C14)</f>
        <v>161552.26064328261</v>
      </c>
      <c r="D15" s="26">
        <f t="shared" si="1"/>
        <v>203257.6798791496</v>
      </c>
      <c r="E15" s="26">
        <f t="shared" si="1"/>
        <v>263954.9902036477</v>
      </c>
      <c r="F15" s="26">
        <f t="shared" si="1"/>
        <v>372620.34974247986</v>
      </c>
      <c r="G15" s="26"/>
      <c r="H15" s="13"/>
      <c r="I15" s="13"/>
    </row>
    <row r="16" spans="1:9" x14ac:dyDescent="0.25">
      <c r="A16" s="159"/>
      <c r="B16" s="13"/>
      <c r="C16" s="13"/>
      <c r="D16" s="13"/>
      <c r="E16" s="13"/>
      <c r="F16" s="13"/>
      <c r="G16" s="13"/>
      <c r="H16" s="13"/>
      <c r="I16" s="13"/>
    </row>
    <row r="17" spans="1:9" x14ac:dyDescent="0.25">
      <c r="B17" s="13"/>
      <c r="C17" s="13"/>
      <c r="D17" s="13"/>
      <c r="E17" s="13"/>
      <c r="F17" s="13"/>
      <c r="G17" s="13"/>
      <c r="H17" s="13"/>
      <c r="I17" s="13"/>
    </row>
    <row r="18" spans="1:9" x14ac:dyDescent="0.25">
      <c r="A18" s="324" t="s">
        <v>150</v>
      </c>
      <c r="B18" s="97"/>
      <c r="C18" s="97"/>
      <c r="D18" s="97"/>
      <c r="E18" s="97"/>
      <c r="F18" s="97"/>
      <c r="G18" s="97"/>
      <c r="H18" s="13"/>
      <c r="I18" s="13"/>
    </row>
    <row r="19" spans="1:9" x14ac:dyDescent="0.25">
      <c r="A19" s="221" t="s">
        <v>151</v>
      </c>
      <c r="B19" s="13">
        <f>-('Fixed Assets Schedule'!G9+'Fixed Assets Schedule'!G20)</f>
        <v>-28747.495532485074</v>
      </c>
      <c r="C19" s="13">
        <f>-('Fixed Assets Schedule'!H9+'Fixed Assets Schedule'!H20)</f>
        <v>-60016.522735975479</v>
      </c>
      <c r="D19" s="13">
        <f>-('Fixed Assets Schedule'!I9+'Fixed Assets Schedule'!I20)</f>
        <v>-75230.812162301067</v>
      </c>
      <c r="E19" s="13">
        <f>-('Fixed Assets Schedule'!J9+'Fixed Assets Schedule'!J20)</f>
        <v>-101533.17217257863</v>
      </c>
      <c r="F19" s="13">
        <f>-('Fixed Assets Schedule'!K9+'Fixed Assets Schedule'!K20)</f>
        <v>-162311.58476748446</v>
      </c>
      <c r="G19" s="13"/>
      <c r="H19" s="13"/>
      <c r="I19" s="13"/>
    </row>
    <row r="20" spans="1:9" ht="15.75" thickBot="1" x14ac:dyDescent="0.3">
      <c r="A20" s="325" t="s">
        <v>152</v>
      </c>
      <c r="B20" s="98">
        <f>SUM(B19)</f>
        <v>-28747.495532485074</v>
      </c>
      <c r="C20" s="98">
        <f t="shared" ref="C20:F20" si="2">SUM(C19)</f>
        <v>-60016.522735975479</v>
      </c>
      <c r="D20" s="98">
        <f t="shared" si="2"/>
        <v>-75230.812162301067</v>
      </c>
      <c r="E20" s="98">
        <f t="shared" si="2"/>
        <v>-101533.17217257863</v>
      </c>
      <c r="F20" s="98">
        <f t="shared" si="2"/>
        <v>-162311.58476748446</v>
      </c>
      <c r="G20" s="98"/>
      <c r="H20" s="13"/>
      <c r="I20" s="13"/>
    </row>
    <row r="21" spans="1:9" ht="15.75" thickTop="1" x14ac:dyDescent="0.25">
      <c r="A21" s="221"/>
      <c r="B21" s="13"/>
      <c r="C21" s="13"/>
      <c r="D21" s="13"/>
      <c r="E21" s="13"/>
      <c r="F21" s="13"/>
      <c r="G21" s="13"/>
      <c r="H21" s="13"/>
      <c r="I21" s="13"/>
    </row>
    <row r="22" spans="1:9" x14ac:dyDescent="0.25">
      <c r="A22" s="221"/>
      <c r="B22" s="13"/>
      <c r="C22" s="13"/>
      <c r="D22" s="13"/>
      <c r="E22" s="13"/>
      <c r="F22" s="13"/>
      <c r="G22" s="13"/>
      <c r="H22" s="13"/>
      <c r="I22" s="13"/>
    </row>
    <row r="23" spans="1:9" x14ac:dyDescent="0.25">
      <c r="A23" s="324" t="s">
        <v>153</v>
      </c>
      <c r="B23" s="97"/>
      <c r="C23" s="97"/>
      <c r="D23" s="97"/>
      <c r="E23" s="97"/>
      <c r="F23" s="97"/>
      <c r="G23" s="97"/>
      <c r="H23" s="13"/>
      <c r="I23" s="13"/>
    </row>
    <row r="24" spans="1:9" x14ac:dyDescent="0.25">
      <c r="A24" s="326" t="s">
        <v>26</v>
      </c>
      <c r="B24" s="100">
        <v>0</v>
      </c>
      <c r="C24" s="100">
        <v>0</v>
      </c>
      <c r="D24" s="100">
        <v>0</v>
      </c>
      <c r="E24" s="100">
        <v>0</v>
      </c>
      <c r="F24" s="100">
        <v>0</v>
      </c>
      <c r="G24" s="100"/>
      <c r="H24" s="13"/>
      <c r="I24" s="13"/>
    </row>
    <row r="25" spans="1:9" x14ac:dyDescent="0.25">
      <c r="A25" s="327" t="s">
        <v>27</v>
      </c>
      <c r="B25" s="13">
        <f>B15+B20+B24</f>
        <v>99896.187913465823</v>
      </c>
      <c r="C25" s="13">
        <f t="shared" ref="C25:F25" si="3">C15+C20+C24</f>
        <v>101535.73790730714</v>
      </c>
      <c r="D25" s="13">
        <f t="shared" si="3"/>
        <v>128026.86771684853</v>
      </c>
      <c r="E25" s="13">
        <f t="shared" si="3"/>
        <v>162421.81803106907</v>
      </c>
      <c r="F25" s="13">
        <f t="shared" si="3"/>
        <v>210308.7649749954</v>
      </c>
      <c r="G25" s="13"/>
      <c r="H25" s="13"/>
      <c r="I25" s="13"/>
    </row>
    <row r="26" spans="1:9" x14ac:dyDescent="0.25">
      <c r="A26" s="328"/>
      <c r="B26" s="25"/>
      <c r="C26" s="25"/>
      <c r="D26" s="25"/>
      <c r="E26" s="25"/>
      <c r="F26" s="25"/>
      <c r="G26" s="25"/>
      <c r="H26" s="13"/>
      <c r="I26" s="13"/>
    </row>
    <row r="27" spans="1:9" x14ac:dyDescent="0.25">
      <c r="A27" s="326" t="s">
        <v>28</v>
      </c>
      <c r="B27" s="13">
        <f>'Debt Schedule'!B6</f>
        <v>0</v>
      </c>
      <c r="C27" s="13">
        <f>'Debt Schedule'!C6</f>
        <v>0</v>
      </c>
      <c r="D27" s="13">
        <f>'Debt Schedule'!D6</f>
        <v>0</v>
      </c>
      <c r="E27" s="13">
        <f>'Debt Schedule'!E6</f>
        <v>0</v>
      </c>
      <c r="F27" s="13">
        <f>'Debt Schedule'!F6</f>
        <v>0</v>
      </c>
      <c r="G27" s="97"/>
      <c r="H27" s="13"/>
      <c r="I27" s="13"/>
    </row>
    <row r="28" spans="1:9" x14ac:dyDescent="0.25">
      <c r="A28" s="326" t="s">
        <v>29</v>
      </c>
      <c r="B28">
        <f>-('Debt Schedule'!B7)</f>
        <v>-4162</v>
      </c>
      <c r="C28">
        <f>-('Debt Schedule'!C7)</f>
        <v>-4824</v>
      </c>
      <c r="D28">
        <f>-('Debt Schedule'!D7)</f>
        <v>-3311</v>
      </c>
      <c r="E28">
        <f>-('Debt Schedule'!E7)</f>
        <v>-1838</v>
      </c>
      <c r="F28">
        <f>-('Debt Schedule'!F7)</f>
        <v>-1448</v>
      </c>
      <c r="G28" s="13"/>
      <c r="H28" s="13"/>
      <c r="I28" s="13"/>
    </row>
    <row r="29" spans="1:9" ht="15.75" thickBot="1" x14ac:dyDescent="0.3">
      <c r="A29" s="325" t="s">
        <v>154</v>
      </c>
      <c r="B29" s="13">
        <f>B28+B27-B24</f>
        <v>-4162</v>
      </c>
      <c r="C29" s="13">
        <f t="shared" ref="C29:F29" si="4">C28+C27-C24</f>
        <v>-4824</v>
      </c>
      <c r="D29" s="13">
        <f t="shared" si="4"/>
        <v>-3311</v>
      </c>
      <c r="E29" s="13">
        <f t="shared" si="4"/>
        <v>-1838</v>
      </c>
      <c r="F29" s="13">
        <f t="shared" si="4"/>
        <v>-1448</v>
      </c>
      <c r="G29" s="13"/>
      <c r="H29" s="13"/>
      <c r="I29" s="13"/>
    </row>
    <row r="30" spans="1:9" ht="16.5" thickTop="1" thickBot="1" x14ac:dyDescent="0.3">
      <c r="B30" s="99"/>
      <c r="C30" s="99"/>
      <c r="D30" s="99"/>
      <c r="E30" s="99"/>
      <c r="F30" s="99"/>
      <c r="G30" s="99"/>
      <c r="H30" s="13"/>
      <c r="I30" s="13"/>
    </row>
    <row r="31" spans="1:9" ht="15.75" thickBot="1" x14ac:dyDescent="0.3">
      <c r="A31" s="329" t="s">
        <v>155</v>
      </c>
      <c r="B31" s="13"/>
      <c r="C31" s="13"/>
      <c r="D31" s="13"/>
      <c r="E31" s="13"/>
      <c r="F31" s="13"/>
      <c r="G31" s="13"/>
      <c r="H31" s="13"/>
      <c r="I31" s="13"/>
    </row>
    <row r="32" spans="1:9" s="6" customFormat="1" x14ac:dyDescent="0.25">
      <c r="A32" s="330" t="s">
        <v>31</v>
      </c>
      <c r="B32" s="40">
        <f>'Alphabet-BS'!F7</f>
        <v>23466</v>
      </c>
      <c r="C32" s="40">
        <f>B34</f>
        <v>119200.18791346582</v>
      </c>
      <c r="D32" s="40">
        <f t="shared" ref="D32:F32" si="5">C34</f>
        <v>215911.92582077294</v>
      </c>
      <c r="E32" s="40">
        <f t="shared" si="5"/>
        <v>340627.7935376215</v>
      </c>
      <c r="F32" s="40">
        <f t="shared" si="5"/>
        <v>501211.61156869057</v>
      </c>
      <c r="G32" s="40"/>
      <c r="H32" s="37"/>
      <c r="I32" s="37"/>
    </row>
    <row r="33" spans="1:9" ht="15.75" thickBot="1" x14ac:dyDescent="0.3">
      <c r="A33" s="331" t="s">
        <v>30</v>
      </c>
      <c r="B33" s="13">
        <f>SUM(B15,B20,B29)</f>
        <v>95734.187913465823</v>
      </c>
      <c r="C33" s="13">
        <f t="shared" ref="C33:F33" si="6">SUM(C15,C20,C29)</f>
        <v>96711.737907307135</v>
      </c>
      <c r="D33" s="13">
        <f t="shared" si="6"/>
        <v>124715.86771684853</v>
      </c>
      <c r="E33" s="13">
        <f t="shared" si="6"/>
        <v>160583.81803106907</v>
      </c>
      <c r="F33" s="13">
        <f t="shared" si="6"/>
        <v>208860.7649749954</v>
      </c>
      <c r="G33" s="13"/>
      <c r="H33" s="13"/>
      <c r="I33" s="13"/>
    </row>
    <row r="34" spans="1:9" s="6" customFormat="1" ht="16.5" thickTop="1" thickBot="1" x14ac:dyDescent="0.3">
      <c r="A34" s="332" t="s">
        <v>32</v>
      </c>
      <c r="B34" s="39">
        <f>SUM(B32:B33)</f>
        <v>119200.18791346582</v>
      </c>
      <c r="C34" s="39">
        <f t="shared" ref="C34:F34" si="7">SUM(C32:C33)</f>
        <v>215911.92582077294</v>
      </c>
      <c r="D34" s="39">
        <f t="shared" si="7"/>
        <v>340627.7935376215</v>
      </c>
      <c r="E34" s="39">
        <f t="shared" si="7"/>
        <v>501211.61156869057</v>
      </c>
      <c r="F34" s="39">
        <f t="shared" si="7"/>
        <v>710072.37654368603</v>
      </c>
      <c r="G34" s="39"/>
      <c r="H34" s="37"/>
      <c r="I34" s="37"/>
    </row>
    <row r="35" spans="1:9" ht="15.75" thickTop="1" x14ac:dyDescent="0.25">
      <c r="A35" s="95"/>
      <c r="B35" s="13"/>
      <c r="C35" s="13"/>
      <c r="D35" s="13"/>
      <c r="E35" s="13"/>
      <c r="F35" s="13"/>
      <c r="G35" s="13"/>
      <c r="H35" s="13"/>
      <c r="I35" s="13"/>
    </row>
    <row r="36" spans="1:9" x14ac:dyDescent="0.25">
      <c r="A36" s="160"/>
      <c r="B36" s="175"/>
      <c r="C36" s="175"/>
      <c r="D36" s="175"/>
      <c r="E36" s="175"/>
      <c r="F36" s="175"/>
      <c r="G36" s="175"/>
      <c r="H36" s="13"/>
      <c r="I36" s="13"/>
    </row>
    <row r="37" spans="1:9" x14ac:dyDescent="0.25">
      <c r="A37" s="95"/>
      <c r="B37" s="13"/>
      <c r="C37" s="13"/>
      <c r="D37" s="13"/>
      <c r="E37" s="13"/>
      <c r="F37" s="13"/>
      <c r="G37" s="13"/>
      <c r="H37" s="13"/>
      <c r="I37" s="13"/>
    </row>
    <row r="38" spans="1:9" x14ac:dyDescent="0.25">
      <c r="A38" s="160"/>
      <c r="B38" s="13"/>
      <c r="C38" s="13"/>
      <c r="D38" s="13"/>
      <c r="E38" s="13"/>
      <c r="F38" s="13"/>
      <c r="G38" s="13"/>
      <c r="H38" s="13"/>
      <c r="I38" s="13"/>
    </row>
    <row r="39" spans="1:9" x14ac:dyDescent="0.25">
      <c r="A39" s="96"/>
      <c r="C39" s="65"/>
      <c r="D39" s="65"/>
      <c r="E39" s="65"/>
      <c r="F39" s="65"/>
      <c r="G39" s="65"/>
    </row>
    <row r="40" spans="1:9" x14ac:dyDescent="0.25">
      <c r="A40" s="160"/>
      <c r="B40" s="65"/>
      <c r="C40" s="65"/>
      <c r="D40" s="65"/>
      <c r="E40" s="65"/>
      <c r="F40" s="65"/>
      <c r="G40" s="6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7DBC-B477-45FE-B8F4-62842C413ABB}">
  <dimension ref="A1:N63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C15" sqref="C15"/>
    </sheetView>
  </sheetViews>
  <sheetFormatPr defaultColWidth="8.7109375" defaultRowHeight="15" x14ac:dyDescent="0.25"/>
  <cols>
    <col min="1" max="1" width="70.28515625" bestFit="1" customWidth="1"/>
    <col min="2" max="4" width="11.28515625" bestFit="1" customWidth="1"/>
    <col min="5" max="5" width="10.85546875" bestFit="1" customWidth="1"/>
    <col min="6" max="6" width="11.28515625" bestFit="1" customWidth="1"/>
    <col min="7" max="7" width="12.28515625" bestFit="1" customWidth="1"/>
    <col min="8" max="10" width="11.42578125" bestFit="1" customWidth="1"/>
    <col min="11" max="11" width="10.7109375" bestFit="1" customWidth="1"/>
    <col min="12" max="12" width="11" customWidth="1"/>
  </cols>
  <sheetData>
    <row r="1" spans="1:13" x14ac:dyDescent="0.25">
      <c r="A1" s="208" t="s">
        <v>88</v>
      </c>
      <c r="B1" s="57"/>
      <c r="C1" s="57"/>
      <c r="D1" s="57"/>
      <c r="E1" s="57"/>
      <c r="F1" s="57"/>
      <c r="G1" s="57"/>
      <c r="H1" s="57"/>
      <c r="I1" s="57"/>
      <c r="J1" s="57"/>
    </row>
    <row r="2" spans="1:13" x14ac:dyDescent="0.25">
      <c r="A2" s="58" t="s">
        <v>14</v>
      </c>
      <c r="B2" s="81"/>
      <c r="C2" s="81"/>
      <c r="D2" s="81"/>
      <c r="E2" s="81"/>
      <c r="F2" s="57"/>
      <c r="G2" s="57"/>
      <c r="H2" s="57"/>
      <c r="I2" s="57"/>
      <c r="J2" s="57"/>
    </row>
    <row r="3" spans="1:13" x14ac:dyDescent="0.25">
      <c r="A3" s="58"/>
      <c r="B3" s="650"/>
      <c r="C3" s="652" t="s">
        <v>328</v>
      </c>
      <c r="D3" s="651"/>
      <c r="E3" s="651"/>
      <c r="F3" s="651"/>
      <c r="G3" s="653"/>
      <c r="H3" s="654" t="s">
        <v>329</v>
      </c>
      <c r="I3" s="653"/>
      <c r="J3" s="653"/>
      <c r="K3" s="653"/>
    </row>
    <row r="4" spans="1:13" x14ac:dyDescent="0.25">
      <c r="A4" s="56" t="s">
        <v>21</v>
      </c>
      <c r="B4" s="62">
        <v>44196</v>
      </c>
      <c r="C4" s="62">
        <v>44561</v>
      </c>
      <c r="D4" s="62">
        <v>44926</v>
      </c>
      <c r="E4" s="62">
        <v>45291</v>
      </c>
      <c r="F4" s="62">
        <v>45657</v>
      </c>
      <c r="G4" s="64">
        <v>46022</v>
      </c>
      <c r="H4" s="64">
        <v>46387</v>
      </c>
      <c r="I4" s="64">
        <v>46752</v>
      </c>
      <c r="J4" s="64">
        <v>47118</v>
      </c>
      <c r="K4" s="64">
        <v>47483</v>
      </c>
      <c r="L4" s="64"/>
    </row>
    <row r="5" spans="1:13" x14ac:dyDescent="0.25">
      <c r="A5" s="129"/>
      <c r="G5" s="41"/>
      <c r="H5" s="41"/>
      <c r="I5" s="41"/>
      <c r="J5" s="41"/>
      <c r="K5" s="41"/>
      <c r="L5" s="41"/>
    </row>
    <row r="6" spans="1:13" x14ac:dyDescent="0.25">
      <c r="A6" s="144" t="s">
        <v>71</v>
      </c>
      <c r="E6" s="130"/>
      <c r="F6" s="130"/>
      <c r="G6" s="41"/>
      <c r="H6" s="41"/>
      <c r="I6" s="41"/>
      <c r="J6" s="41"/>
      <c r="K6" s="41"/>
      <c r="L6" s="41"/>
    </row>
    <row r="7" spans="1:13" x14ac:dyDescent="0.25">
      <c r="A7" s="1" t="s">
        <v>0</v>
      </c>
      <c r="B7" s="146">
        <v>26465</v>
      </c>
      <c r="C7" s="146">
        <v>20945</v>
      </c>
      <c r="D7" s="146">
        <v>21879</v>
      </c>
      <c r="E7" s="146">
        <v>24048</v>
      </c>
      <c r="F7" s="146">
        <v>23466</v>
      </c>
      <c r="G7" s="147">
        <f>'Alphabet-CFS'!B34</f>
        <v>119200.18791346582</v>
      </c>
      <c r="H7" s="147">
        <f>'Alphabet-CFS'!C34</f>
        <v>215911.92582077294</v>
      </c>
      <c r="I7" s="147">
        <f>'Alphabet-CFS'!D34</f>
        <v>340627.7935376215</v>
      </c>
      <c r="J7" s="147">
        <f>'Alphabet-CFS'!E34</f>
        <v>501211.61156869057</v>
      </c>
      <c r="K7" s="147">
        <f>'Alphabet-CFS'!F34</f>
        <v>710072.37654368603</v>
      </c>
      <c r="L7" s="147"/>
    </row>
    <row r="8" spans="1:13" x14ac:dyDescent="0.25">
      <c r="A8" s="1" t="s">
        <v>1</v>
      </c>
      <c r="B8" s="146">
        <v>110229</v>
      </c>
      <c r="C8" s="146">
        <v>118704</v>
      </c>
      <c r="D8" s="146">
        <v>91883</v>
      </c>
      <c r="E8" s="146">
        <v>86868</v>
      </c>
      <c r="F8" s="146">
        <v>72191</v>
      </c>
      <c r="G8" s="147">
        <f>F8</f>
        <v>72191</v>
      </c>
      <c r="H8" s="147">
        <f>G8</f>
        <v>72191</v>
      </c>
      <c r="I8" s="147">
        <f t="shared" ref="I8:K8" si="0">H8</f>
        <v>72191</v>
      </c>
      <c r="J8" s="147">
        <f t="shared" si="0"/>
        <v>72191</v>
      </c>
      <c r="K8" s="147">
        <f t="shared" si="0"/>
        <v>72191</v>
      </c>
      <c r="L8" s="147"/>
      <c r="M8" s="14"/>
    </row>
    <row r="9" spans="1:13" x14ac:dyDescent="0.25">
      <c r="A9" s="145" t="s">
        <v>43</v>
      </c>
      <c r="B9" s="148">
        <f>SUM(B7:B8)</f>
        <v>136694</v>
      </c>
      <c r="C9" s="148">
        <f t="shared" ref="C9:K9" si="1">SUM(C7:C8)</f>
        <v>139649</v>
      </c>
      <c r="D9" s="148">
        <f t="shared" si="1"/>
        <v>113762</v>
      </c>
      <c r="E9" s="148">
        <f t="shared" si="1"/>
        <v>110916</v>
      </c>
      <c r="F9" s="148">
        <f t="shared" si="1"/>
        <v>95657</v>
      </c>
      <c r="G9" s="148">
        <f t="shared" si="1"/>
        <v>191391.18791346584</v>
      </c>
      <c r="H9" s="148">
        <f t="shared" si="1"/>
        <v>288102.92582077294</v>
      </c>
      <c r="I9" s="148">
        <f t="shared" si="1"/>
        <v>412818.7935376215</v>
      </c>
      <c r="J9" s="148">
        <f t="shared" si="1"/>
        <v>573402.61156869051</v>
      </c>
      <c r="K9" s="148">
        <f t="shared" si="1"/>
        <v>782263.37654368603</v>
      </c>
      <c r="L9" s="148"/>
      <c r="M9" s="14"/>
    </row>
    <row r="10" spans="1:13" x14ac:dyDescent="0.25">
      <c r="A10" s="1" t="s">
        <v>44</v>
      </c>
      <c r="B10" s="146">
        <v>30930</v>
      </c>
      <c r="C10" s="146">
        <v>39304</v>
      </c>
      <c r="D10" s="147">
        <v>40258</v>
      </c>
      <c r="E10" s="147">
        <v>47964</v>
      </c>
      <c r="F10" s="147">
        <v>52340</v>
      </c>
      <c r="G10" s="323">
        <f>'Alphabet-IS'!G7/(365/'Extra Calculation'!$E$9)</f>
        <v>64253.540477094342</v>
      </c>
      <c r="H10" s="323">
        <f>'Alphabet-IS'!H7/(365/'Extra Calculation'!$E$9)</f>
        <v>77011.889013015229</v>
      </c>
      <c r="I10" s="323">
        <f>'Alphabet-IS'!I7/(365/'Extra Calculation'!$E$9)</f>
        <v>93364.017296500941</v>
      </c>
      <c r="J10" s="323">
        <f>'Alphabet-IS'!J7/(365/'Extra Calculation'!$E$9)</f>
        <v>116510.01532538256</v>
      </c>
      <c r="K10" s="323">
        <f>'Alphabet-IS'!K7/(365/'Extra Calculation'!$E$9)</f>
        <v>156846.0050932763</v>
      </c>
      <c r="L10" s="147"/>
      <c r="M10" s="14"/>
    </row>
    <row r="11" spans="1:13" x14ac:dyDescent="0.25">
      <c r="A11" s="1" t="s">
        <v>45</v>
      </c>
      <c r="B11" s="146">
        <v>6672</v>
      </c>
      <c r="C11" s="146">
        <v>9190</v>
      </c>
      <c r="D11" s="146">
        <v>10775</v>
      </c>
      <c r="E11" s="146">
        <v>12650</v>
      </c>
      <c r="F11" s="146">
        <v>15714</v>
      </c>
      <c r="G11" s="147">
        <f>F11</f>
        <v>15714</v>
      </c>
      <c r="H11" s="147">
        <f t="shared" ref="H11:K11" si="2">G11</f>
        <v>15714</v>
      </c>
      <c r="I11" s="147">
        <f t="shared" si="2"/>
        <v>15714</v>
      </c>
      <c r="J11" s="147">
        <f t="shared" si="2"/>
        <v>15714</v>
      </c>
      <c r="K11" s="147">
        <f t="shared" si="2"/>
        <v>15714</v>
      </c>
      <c r="L11" s="147"/>
      <c r="M11" s="14"/>
    </row>
    <row r="12" spans="1:13" s="6" customFormat="1" x14ac:dyDescent="0.25">
      <c r="A12" s="145" t="s">
        <v>46</v>
      </c>
      <c r="B12" s="148">
        <f>SUM(B9:B11)</f>
        <v>174296</v>
      </c>
      <c r="C12" s="148">
        <f>SUM(C9:C11)</f>
        <v>188143</v>
      </c>
      <c r="D12" s="148">
        <f>SUM(D9:D11)</f>
        <v>164795</v>
      </c>
      <c r="E12" s="148">
        <f>SUM(E9:E11)</f>
        <v>171530</v>
      </c>
      <c r="F12" s="148">
        <f>SUM(F9:F11)</f>
        <v>163711</v>
      </c>
      <c r="G12" s="148">
        <f t="shared" ref="G12:K12" si="3">SUM(G9:G11)</f>
        <v>271358.72839056019</v>
      </c>
      <c r="H12" s="148">
        <f t="shared" si="3"/>
        <v>380828.8148337882</v>
      </c>
      <c r="I12" s="148">
        <f t="shared" si="3"/>
        <v>521896.81083412247</v>
      </c>
      <c r="J12" s="148">
        <f t="shared" si="3"/>
        <v>705626.6268940731</v>
      </c>
      <c r="K12" s="148">
        <f t="shared" si="3"/>
        <v>954823.38163696229</v>
      </c>
      <c r="L12" s="148"/>
    </row>
    <row r="13" spans="1:13" x14ac:dyDescent="0.25">
      <c r="A13" s="1" t="s">
        <v>72</v>
      </c>
      <c r="B13" s="146">
        <v>20703</v>
      </c>
      <c r="C13" s="146">
        <v>29549</v>
      </c>
      <c r="D13" s="146">
        <v>30492</v>
      </c>
      <c r="E13" s="146">
        <v>31008</v>
      </c>
      <c r="F13" s="146">
        <v>37982</v>
      </c>
      <c r="G13" s="147">
        <f>$F$13</f>
        <v>37982</v>
      </c>
      <c r="H13" s="147">
        <f t="shared" ref="H13:K13" si="4">$F$13</f>
        <v>37982</v>
      </c>
      <c r="I13" s="147">
        <f t="shared" si="4"/>
        <v>37982</v>
      </c>
      <c r="J13" s="147">
        <f t="shared" si="4"/>
        <v>37982</v>
      </c>
      <c r="K13" s="147">
        <f t="shared" si="4"/>
        <v>37982</v>
      </c>
      <c r="L13" s="147"/>
      <c r="M13" s="14"/>
    </row>
    <row r="14" spans="1:13" x14ac:dyDescent="0.25">
      <c r="A14" s="1" t="s">
        <v>47</v>
      </c>
      <c r="B14" s="146">
        <v>1084</v>
      </c>
      <c r="C14" s="146">
        <v>1284</v>
      </c>
      <c r="D14" s="146">
        <v>5261</v>
      </c>
      <c r="E14" s="146">
        <v>12169</v>
      </c>
      <c r="F14" s="146">
        <v>17180</v>
      </c>
      <c r="G14" s="147">
        <f>$F$14</f>
        <v>17180</v>
      </c>
      <c r="H14" s="147">
        <f t="shared" ref="H14:K14" si="5">$F$14</f>
        <v>17180</v>
      </c>
      <c r="I14" s="147">
        <f t="shared" si="5"/>
        <v>17180</v>
      </c>
      <c r="J14" s="147">
        <f t="shared" si="5"/>
        <v>17180</v>
      </c>
      <c r="K14" s="147">
        <f t="shared" si="5"/>
        <v>17180</v>
      </c>
      <c r="L14" s="147"/>
      <c r="M14" s="14"/>
    </row>
    <row r="15" spans="1:13" x14ac:dyDescent="0.25">
      <c r="A15" s="1" t="s">
        <v>48</v>
      </c>
      <c r="B15" s="146">
        <v>84749</v>
      </c>
      <c r="C15" s="146">
        <v>97599</v>
      </c>
      <c r="D15" s="146">
        <v>112668</v>
      </c>
      <c r="E15" s="146">
        <v>134345</v>
      </c>
      <c r="F15" s="146">
        <v>171036</v>
      </c>
      <c r="G15" s="147">
        <f>'Fixed Assets Schedule'!G12</f>
        <v>179436.49837909901</v>
      </c>
      <c r="H15" s="147">
        <f>'Fixed Assets Schedule'!H12</f>
        <v>215065.87178618563</v>
      </c>
      <c r="I15" s="147">
        <f>'Fixed Assets Schedule'!I12</f>
        <v>260731.34980417124</v>
      </c>
      <c r="J15" s="147">
        <f>'Fixed Assets Schedule'!J12</f>
        <v>325369.60641934758</v>
      </c>
      <c r="K15" s="147">
        <f>'Fixed Assets Schedule'!K12</f>
        <v>438013.18541693134</v>
      </c>
      <c r="L15" s="147"/>
      <c r="M15" s="14"/>
    </row>
    <row r="16" spans="1:13" x14ac:dyDescent="0.25">
      <c r="A16" s="1" t="s">
        <v>49</v>
      </c>
      <c r="B16" s="146">
        <v>12211</v>
      </c>
      <c r="C16" s="146">
        <v>12959</v>
      </c>
      <c r="D16" s="146">
        <v>14381</v>
      </c>
      <c r="E16" s="146">
        <v>14091</v>
      </c>
      <c r="F16" s="146">
        <v>13588</v>
      </c>
      <c r="G16" s="147">
        <f>$F$16</f>
        <v>13588</v>
      </c>
      <c r="H16" s="147">
        <f t="shared" ref="H16:K16" si="6">$F$16</f>
        <v>13588</v>
      </c>
      <c r="I16" s="147">
        <f t="shared" si="6"/>
        <v>13588</v>
      </c>
      <c r="J16" s="147">
        <f t="shared" si="6"/>
        <v>13588</v>
      </c>
      <c r="K16" s="147">
        <f t="shared" si="6"/>
        <v>13588</v>
      </c>
      <c r="L16" s="147"/>
      <c r="M16" s="14"/>
    </row>
    <row r="17" spans="1:13" x14ac:dyDescent="0.25">
      <c r="A17" s="1" t="s">
        <v>73</v>
      </c>
      <c r="B17" s="146">
        <v>1445</v>
      </c>
      <c r="C17" s="146">
        <v>1417</v>
      </c>
      <c r="D17" s="146">
        <v>0</v>
      </c>
      <c r="E17" s="146">
        <v>0</v>
      </c>
      <c r="F17" s="146">
        <v>0</v>
      </c>
      <c r="G17" s="147">
        <f>F17</f>
        <v>0</v>
      </c>
      <c r="H17" s="147">
        <f t="shared" ref="H17:K17" si="7">G17</f>
        <v>0</v>
      </c>
      <c r="I17" s="147">
        <f t="shared" si="7"/>
        <v>0</v>
      </c>
      <c r="J17" s="147">
        <f t="shared" si="7"/>
        <v>0</v>
      </c>
      <c r="K17" s="147">
        <f t="shared" si="7"/>
        <v>0</v>
      </c>
      <c r="L17" s="147"/>
      <c r="M17" s="14"/>
    </row>
    <row r="18" spans="1:13" x14ac:dyDescent="0.25">
      <c r="A18" s="1" t="s">
        <v>39</v>
      </c>
      <c r="B18" s="146">
        <v>21175</v>
      </c>
      <c r="C18" s="146">
        <v>22956</v>
      </c>
      <c r="D18" s="146">
        <v>28960</v>
      </c>
      <c r="E18" s="146">
        <v>29198</v>
      </c>
      <c r="F18" s="146">
        <v>31885</v>
      </c>
      <c r="G18" s="147">
        <f>F18</f>
        <v>31885</v>
      </c>
      <c r="H18" s="147">
        <f t="shared" ref="H18:K18" si="8">G18</f>
        <v>31885</v>
      </c>
      <c r="I18" s="147">
        <f t="shared" si="8"/>
        <v>31885</v>
      </c>
      <c r="J18" s="147">
        <f t="shared" si="8"/>
        <v>31885</v>
      </c>
      <c r="K18" s="147">
        <f t="shared" si="8"/>
        <v>31885</v>
      </c>
      <c r="L18" s="147"/>
      <c r="M18" s="14"/>
    </row>
    <row r="19" spans="1:13" x14ac:dyDescent="0.25">
      <c r="A19" s="1" t="s">
        <v>50</v>
      </c>
      <c r="B19" s="146">
        <v>3953</v>
      </c>
      <c r="C19" s="146">
        <v>5361</v>
      </c>
      <c r="D19" s="146">
        <v>8707</v>
      </c>
      <c r="E19" s="146">
        <v>10051</v>
      </c>
      <c r="F19" s="146">
        <v>14874</v>
      </c>
      <c r="G19" s="147">
        <f>$F$19</f>
        <v>14874</v>
      </c>
      <c r="H19" s="147">
        <f t="shared" ref="H19:K19" si="9">$F$19</f>
        <v>14874</v>
      </c>
      <c r="I19" s="147">
        <f t="shared" si="9"/>
        <v>14874</v>
      </c>
      <c r="J19" s="147">
        <f t="shared" si="9"/>
        <v>14874</v>
      </c>
      <c r="K19" s="147">
        <f t="shared" si="9"/>
        <v>14874</v>
      </c>
      <c r="L19" s="44"/>
      <c r="M19" s="14"/>
    </row>
    <row r="20" spans="1:13" ht="15.75" thickBot="1" x14ac:dyDescent="0.3">
      <c r="A20" s="145" t="s">
        <v>74</v>
      </c>
      <c r="B20" s="149">
        <f>SUM(B12:B19)</f>
        <v>319616</v>
      </c>
      <c r="C20" s="149">
        <f t="shared" ref="C20:K20" si="10">SUM(C12:C19)</f>
        <v>359268</v>
      </c>
      <c r="D20" s="149">
        <f t="shared" si="10"/>
        <v>365264</v>
      </c>
      <c r="E20" s="149">
        <f t="shared" si="10"/>
        <v>402392</v>
      </c>
      <c r="F20" s="149">
        <f t="shared" si="10"/>
        <v>450256</v>
      </c>
      <c r="G20" s="149">
        <f t="shared" si="10"/>
        <v>566304.2267696592</v>
      </c>
      <c r="H20" s="149">
        <f t="shared" si="10"/>
        <v>711403.68661997386</v>
      </c>
      <c r="I20" s="149">
        <f t="shared" si="10"/>
        <v>898137.16063829372</v>
      </c>
      <c r="J20" s="149">
        <f t="shared" si="10"/>
        <v>1146505.2333134208</v>
      </c>
      <c r="K20" s="149">
        <f t="shared" si="10"/>
        <v>1508345.5670538936</v>
      </c>
      <c r="L20" s="149"/>
      <c r="M20" s="14"/>
    </row>
    <row r="21" spans="1:13" ht="15.75" thickTop="1" x14ac:dyDescent="0.25">
      <c r="A21" s="1"/>
      <c r="B21" s="146"/>
      <c r="C21" s="146"/>
      <c r="D21" s="146"/>
      <c r="E21" s="146"/>
      <c r="F21" s="150"/>
      <c r="G21" s="151"/>
      <c r="H21" s="43"/>
      <c r="I21" s="43"/>
      <c r="J21" s="43"/>
      <c r="K21" s="43"/>
      <c r="L21" s="43"/>
      <c r="M21" s="14"/>
    </row>
    <row r="22" spans="1:13" s="6" customFormat="1" x14ac:dyDescent="0.25">
      <c r="A22" s="144" t="s">
        <v>51</v>
      </c>
      <c r="B22" s="150"/>
      <c r="C22" s="150"/>
      <c r="D22" s="150"/>
      <c r="E22" s="152"/>
      <c r="F22" s="150"/>
      <c r="G22" s="151"/>
      <c r="H22" s="42"/>
      <c r="I22" s="42"/>
      <c r="J22" s="42"/>
      <c r="K22" s="42"/>
      <c r="L22" s="42"/>
    </row>
    <row r="23" spans="1:13" x14ac:dyDescent="0.25">
      <c r="A23" s="1" t="s">
        <v>52</v>
      </c>
      <c r="B23" s="146"/>
      <c r="C23" s="146"/>
      <c r="D23" s="146"/>
      <c r="E23" s="146"/>
      <c r="F23" s="146"/>
      <c r="G23" s="147"/>
      <c r="H23" s="41"/>
      <c r="I23" s="41"/>
      <c r="J23" s="41"/>
      <c r="K23" s="41"/>
      <c r="L23" s="41"/>
    </row>
    <row r="24" spans="1:13" x14ac:dyDescent="0.25">
      <c r="A24" s="1" t="s">
        <v>53</v>
      </c>
      <c r="B24" s="146">
        <v>5589</v>
      </c>
      <c r="C24" s="146">
        <v>6037</v>
      </c>
      <c r="D24" s="146">
        <v>5128</v>
      </c>
      <c r="E24" s="146">
        <v>7493</v>
      </c>
      <c r="F24" s="146">
        <v>7987</v>
      </c>
      <c r="G24" s="147">
        <f>'Alphabet-IS'!G10/(365/'Extra Calculation'!$E$13)</f>
        <v>9947.7813132102037</v>
      </c>
      <c r="H24" s="147">
        <f>'Alphabet-IS'!H10/(365/'Extra Calculation'!$E$13)</f>
        <v>11923.038399600659</v>
      </c>
      <c r="I24" s="147">
        <f>'Alphabet-IS'!I10/(365/'Extra Calculation'!$E$13)</f>
        <v>14454.687161082747</v>
      </c>
      <c r="J24" s="147">
        <f>'Alphabet-IS'!J10/(365/'Extra Calculation'!$E$13)</f>
        <v>18038.167930510397</v>
      </c>
      <c r="K24" s="147">
        <f>'Alphabet-IS'!K10/(365/'Extra Calculation'!$E$13)</f>
        <v>24283.016109824872</v>
      </c>
      <c r="L24" s="147"/>
      <c r="M24" s="14"/>
    </row>
    <row r="25" spans="1:13" x14ac:dyDescent="0.25">
      <c r="A25" s="1" t="s">
        <v>54</v>
      </c>
      <c r="B25" s="146">
        <v>11086</v>
      </c>
      <c r="C25" s="146">
        <v>13889</v>
      </c>
      <c r="D25" s="146">
        <v>14028</v>
      </c>
      <c r="E25" s="146">
        <v>15140</v>
      </c>
      <c r="F25" s="146">
        <v>15069</v>
      </c>
      <c r="G25" s="147">
        <f>$F$25</f>
        <v>15069</v>
      </c>
      <c r="H25" s="147">
        <f t="shared" ref="H25:K25" si="11">$F$25</f>
        <v>15069</v>
      </c>
      <c r="I25" s="147">
        <f t="shared" si="11"/>
        <v>15069</v>
      </c>
      <c r="J25" s="147">
        <f t="shared" si="11"/>
        <v>15069</v>
      </c>
      <c r="K25" s="147">
        <f t="shared" si="11"/>
        <v>15069</v>
      </c>
      <c r="L25" s="147"/>
    </row>
    <row r="26" spans="1:13" x14ac:dyDescent="0.25">
      <c r="A26" s="1" t="s">
        <v>55</v>
      </c>
      <c r="B26" s="146">
        <v>28631</v>
      </c>
      <c r="C26" s="146">
        <v>32044</v>
      </c>
      <c r="D26" s="146">
        <v>37866</v>
      </c>
      <c r="E26" s="146">
        <v>46168</v>
      </c>
      <c r="F26" s="146">
        <v>51228</v>
      </c>
      <c r="G26" s="147">
        <f>$F$26</f>
        <v>51228</v>
      </c>
      <c r="H26" s="147">
        <f t="shared" ref="H26:J26" si="12">$F$26</f>
        <v>51228</v>
      </c>
      <c r="I26" s="147">
        <f t="shared" si="12"/>
        <v>51228</v>
      </c>
      <c r="J26" s="147">
        <f t="shared" si="12"/>
        <v>51228</v>
      </c>
      <c r="K26" s="147">
        <f>$F$26</f>
        <v>51228</v>
      </c>
      <c r="L26" s="147"/>
      <c r="M26" s="14"/>
    </row>
    <row r="27" spans="1:13" x14ac:dyDescent="0.25">
      <c r="A27" s="1" t="s">
        <v>56</v>
      </c>
      <c r="B27" s="146">
        <v>7500</v>
      </c>
      <c r="C27" s="146">
        <v>8996</v>
      </c>
      <c r="D27" s="146">
        <v>8370</v>
      </c>
      <c r="E27" s="146">
        <v>8876</v>
      </c>
      <c r="F27" s="146">
        <v>9802</v>
      </c>
      <c r="G27" s="147">
        <f>$F$27</f>
        <v>9802</v>
      </c>
      <c r="H27" s="147">
        <f t="shared" ref="H27:K27" si="13">$F$27</f>
        <v>9802</v>
      </c>
      <c r="I27" s="147">
        <f t="shared" si="13"/>
        <v>9802</v>
      </c>
      <c r="J27" s="147">
        <f t="shared" si="13"/>
        <v>9802</v>
      </c>
      <c r="K27" s="147">
        <f t="shared" si="13"/>
        <v>9802</v>
      </c>
      <c r="L27" s="147"/>
      <c r="M27" s="14"/>
    </row>
    <row r="28" spans="1:13" x14ac:dyDescent="0.25">
      <c r="A28" s="1" t="s">
        <v>57</v>
      </c>
      <c r="B28" s="146">
        <v>2543</v>
      </c>
      <c r="C28" s="146">
        <v>3288</v>
      </c>
      <c r="D28" s="146">
        <v>3908</v>
      </c>
      <c r="E28" s="146">
        <v>4137</v>
      </c>
      <c r="F28" s="146">
        <v>5036</v>
      </c>
      <c r="G28" s="147">
        <f>$F$28</f>
        <v>5036</v>
      </c>
      <c r="H28" s="147">
        <f t="shared" ref="H28:K28" si="14">$F$28</f>
        <v>5036</v>
      </c>
      <c r="I28" s="147">
        <f t="shared" si="14"/>
        <v>5036</v>
      </c>
      <c r="J28" s="147">
        <f t="shared" si="14"/>
        <v>5036</v>
      </c>
      <c r="K28" s="147">
        <f t="shared" si="14"/>
        <v>5036</v>
      </c>
      <c r="L28" s="147"/>
      <c r="M28" s="14"/>
    </row>
    <row r="29" spans="1:13" s="6" customFormat="1" x14ac:dyDescent="0.25">
      <c r="A29" s="1" t="s">
        <v>75</v>
      </c>
      <c r="B29" s="146">
        <v>1485</v>
      </c>
      <c r="C29" s="146">
        <v>0</v>
      </c>
      <c r="D29" s="146">
        <v>0</v>
      </c>
      <c r="E29" s="146">
        <v>0</v>
      </c>
      <c r="F29" s="146">
        <v>0</v>
      </c>
      <c r="G29" s="146">
        <f>$F$29</f>
        <v>0</v>
      </c>
      <c r="H29" s="146">
        <f t="shared" ref="H29:K29" si="15">$F$29</f>
        <v>0</v>
      </c>
      <c r="I29" s="146">
        <f t="shared" si="15"/>
        <v>0</v>
      </c>
      <c r="J29" s="146">
        <f t="shared" si="15"/>
        <v>0</v>
      </c>
      <c r="K29" s="146">
        <f t="shared" si="15"/>
        <v>0</v>
      </c>
      <c r="L29" s="146"/>
    </row>
    <row r="30" spans="1:13" x14ac:dyDescent="0.25">
      <c r="A30" s="145" t="s">
        <v>58</v>
      </c>
      <c r="B30" s="148">
        <f>SUM(B24:B29)</f>
        <v>56834</v>
      </c>
      <c r="C30" s="148">
        <f t="shared" ref="C30:E30" si="16">SUM(C24:C29)</f>
        <v>64254</v>
      </c>
      <c r="D30" s="148">
        <f t="shared" si="16"/>
        <v>69300</v>
      </c>
      <c r="E30" s="148">
        <f t="shared" si="16"/>
        <v>81814</v>
      </c>
      <c r="F30" s="148">
        <f>SUM(F24:F29)</f>
        <v>89122</v>
      </c>
      <c r="G30" s="148">
        <f t="shared" ref="G30:K30" si="17">SUM(G24:G29)</f>
        <v>91082.781313210202</v>
      </c>
      <c r="H30" s="148">
        <f t="shared" si="17"/>
        <v>93058.038399600657</v>
      </c>
      <c r="I30" s="148">
        <f t="shared" si="17"/>
        <v>95589.687161082751</v>
      </c>
      <c r="J30" s="148">
        <f t="shared" si="17"/>
        <v>99173.16793051039</v>
      </c>
      <c r="K30" s="148">
        <f t="shared" si="17"/>
        <v>105418.01610982488</v>
      </c>
      <c r="L30" s="148"/>
      <c r="M30" s="14"/>
    </row>
    <row r="31" spans="1:13" x14ac:dyDescent="0.25">
      <c r="A31" s="1" t="s">
        <v>59</v>
      </c>
      <c r="B31" s="146">
        <v>13932</v>
      </c>
      <c r="C31" s="146">
        <v>14817</v>
      </c>
      <c r="D31" s="146">
        <v>14701</v>
      </c>
      <c r="E31" s="146">
        <v>11870</v>
      </c>
      <c r="F31" s="146">
        <v>10883</v>
      </c>
      <c r="G31" s="147">
        <f>'Debt Schedule'!B8</f>
        <v>18412</v>
      </c>
      <c r="H31" s="147">
        <f>'Debt Schedule'!C8</f>
        <v>13588</v>
      </c>
      <c r="I31" s="147">
        <f>'Debt Schedule'!D8</f>
        <v>10277</v>
      </c>
      <c r="J31" s="147">
        <f>'Debt Schedule'!E8</f>
        <v>8439</v>
      </c>
      <c r="K31" s="147">
        <f>'Debt Schedule'!F8</f>
        <v>6991</v>
      </c>
      <c r="L31" s="147"/>
      <c r="M31" s="14"/>
    </row>
    <row r="32" spans="1:13" x14ac:dyDescent="0.25">
      <c r="A32" s="1" t="s">
        <v>60</v>
      </c>
      <c r="B32" s="146">
        <v>481</v>
      </c>
      <c r="C32" s="146">
        <v>535</v>
      </c>
      <c r="D32" s="146">
        <v>599</v>
      </c>
      <c r="E32" s="146">
        <v>0</v>
      </c>
      <c r="F32" s="146">
        <v>0</v>
      </c>
      <c r="G32" s="147">
        <f>F32</f>
        <v>0</v>
      </c>
      <c r="H32" s="147">
        <f t="shared" ref="H32:K32" si="18">G32</f>
        <v>0</v>
      </c>
      <c r="I32" s="147">
        <f t="shared" si="18"/>
        <v>0</v>
      </c>
      <c r="J32" s="147">
        <f t="shared" si="18"/>
        <v>0</v>
      </c>
      <c r="K32" s="147">
        <f t="shared" si="18"/>
        <v>0</v>
      </c>
      <c r="L32" s="147"/>
      <c r="M32" s="14"/>
    </row>
    <row r="33" spans="1:13" x14ac:dyDescent="0.25">
      <c r="A33" s="1" t="s">
        <v>61</v>
      </c>
      <c r="B33" s="146">
        <v>8849</v>
      </c>
      <c r="C33" s="146">
        <v>9176</v>
      </c>
      <c r="D33" s="146">
        <v>9258</v>
      </c>
      <c r="E33" s="146">
        <v>8474</v>
      </c>
      <c r="F33" s="146">
        <v>8782</v>
      </c>
      <c r="G33" s="147">
        <f>$F$33</f>
        <v>8782</v>
      </c>
      <c r="H33" s="147">
        <f t="shared" ref="H33:K33" si="19">$F$33</f>
        <v>8782</v>
      </c>
      <c r="I33" s="147">
        <f t="shared" si="19"/>
        <v>8782</v>
      </c>
      <c r="J33" s="147">
        <f t="shared" si="19"/>
        <v>8782</v>
      </c>
      <c r="K33" s="147">
        <f t="shared" si="19"/>
        <v>8782</v>
      </c>
      <c r="L33" s="147"/>
      <c r="M33" s="14"/>
    </row>
    <row r="34" spans="1:13" x14ac:dyDescent="0.25">
      <c r="A34" s="1" t="s">
        <v>47</v>
      </c>
      <c r="B34" s="146">
        <v>3561</v>
      </c>
      <c r="C34" s="146">
        <v>5257</v>
      </c>
      <c r="D34" s="146">
        <v>514</v>
      </c>
      <c r="E34" s="152">
        <v>0</v>
      </c>
      <c r="F34" s="146">
        <v>0</v>
      </c>
      <c r="G34" s="147">
        <v>0</v>
      </c>
      <c r="H34" s="147">
        <v>0</v>
      </c>
      <c r="I34" s="147">
        <v>0</v>
      </c>
      <c r="J34" s="147">
        <v>0</v>
      </c>
      <c r="K34" s="147">
        <v>0</v>
      </c>
      <c r="L34" s="147"/>
      <c r="M34" s="14"/>
    </row>
    <row r="35" spans="1:13" x14ac:dyDescent="0.25">
      <c r="A35" s="1" t="s">
        <v>62</v>
      </c>
      <c r="B35" s="146">
        <v>11146</v>
      </c>
      <c r="C35" s="146">
        <v>11389</v>
      </c>
      <c r="D35" s="146">
        <v>12501</v>
      </c>
      <c r="E35" s="146">
        <v>12460</v>
      </c>
      <c r="F35" s="146">
        <v>11691</v>
      </c>
      <c r="G35" s="147">
        <v>0</v>
      </c>
      <c r="H35" s="147">
        <v>0</v>
      </c>
      <c r="I35" s="147">
        <v>0</v>
      </c>
      <c r="J35" s="147">
        <v>0</v>
      </c>
      <c r="K35" s="147">
        <v>0</v>
      </c>
      <c r="L35" s="147"/>
      <c r="M35" s="14"/>
    </row>
    <row r="36" spans="1:13" x14ac:dyDescent="0.25">
      <c r="A36" s="1" t="s">
        <v>63</v>
      </c>
      <c r="B36" s="146">
        <v>2269</v>
      </c>
      <c r="C36" s="146">
        <v>2205</v>
      </c>
      <c r="D36" s="146">
        <v>2247</v>
      </c>
      <c r="E36" s="146">
        <v>4395</v>
      </c>
      <c r="F36" s="146">
        <v>4694</v>
      </c>
      <c r="G36" s="147">
        <f>$F$36</f>
        <v>4694</v>
      </c>
      <c r="H36" s="147">
        <f t="shared" ref="H36:K36" si="20">$F$36</f>
        <v>4694</v>
      </c>
      <c r="I36" s="147">
        <f t="shared" si="20"/>
        <v>4694</v>
      </c>
      <c r="J36" s="147">
        <f t="shared" si="20"/>
        <v>4694</v>
      </c>
      <c r="K36" s="147">
        <f t="shared" si="20"/>
        <v>4694</v>
      </c>
      <c r="L36" s="147"/>
      <c r="M36" s="14"/>
    </row>
    <row r="37" spans="1:13" ht="15.75" thickBot="1" x14ac:dyDescent="0.3">
      <c r="A37" s="145" t="s">
        <v>76</v>
      </c>
      <c r="B37" s="149">
        <f>SUM(B30:B36)</f>
        <v>97072</v>
      </c>
      <c r="C37" s="149">
        <f t="shared" ref="C37:E37" si="21">SUM(C30:C36)</f>
        <v>107633</v>
      </c>
      <c r="D37" s="149">
        <f t="shared" si="21"/>
        <v>109120</v>
      </c>
      <c r="E37" s="149">
        <f t="shared" si="21"/>
        <v>119013</v>
      </c>
      <c r="F37" s="149">
        <f>SUM(F30:F36)</f>
        <v>125172</v>
      </c>
      <c r="G37" s="149">
        <f t="shared" ref="G37:K37" si="22">SUM(G30:G36)</f>
        <v>122970.7813132102</v>
      </c>
      <c r="H37" s="149">
        <f t="shared" si="22"/>
        <v>120122.03839960066</v>
      </c>
      <c r="I37" s="149">
        <f t="shared" si="22"/>
        <v>119342.68716108275</v>
      </c>
      <c r="J37" s="149">
        <f t="shared" si="22"/>
        <v>121088.16793051039</v>
      </c>
      <c r="K37" s="149">
        <f t="shared" si="22"/>
        <v>125885.01610982488</v>
      </c>
      <c r="L37" s="149"/>
      <c r="M37" s="14"/>
    </row>
    <row r="38" spans="1:13" ht="15.75" thickTop="1" x14ac:dyDescent="0.25">
      <c r="A38" s="2" t="s">
        <v>77</v>
      </c>
      <c r="B38" s="153"/>
      <c r="C38" s="153"/>
      <c r="D38" s="153"/>
      <c r="E38" s="153"/>
      <c r="F38" s="153"/>
      <c r="G38" s="153"/>
      <c r="H38" s="110"/>
      <c r="I38" s="110"/>
      <c r="J38" s="110"/>
      <c r="K38" s="110"/>
      <c r="L38" s="110"/>
      <c r="M38" s="14"/>
    </row>
    <row r="39" spans="1:13" x14ac:dyDescent="0.25">
      <c r="A39" s="2" t="s">
        <v>64</v>
      </c>
      <c r="B39" s="153"/>
      <c r="C39" s="153"/>
      <c r="D39" s="153"/>
      <c r="E39" s="153"/>
      <c r="F39" s="153"/>
      <c r="G39" s="153"/>
      <c r="H39" s="110"/>
      <c r="I39" s="110"/>
      <c r="J39" s="110"/>
      <c r="K39" s="110"/>
      <c r="L39" s="110"/>
      <c r="M39" s="14"/>
    </row>
    <row r="40" spans="1:13" s="6" customFormat="1" ht="30" x14ac:dyDescent="0.25">
      <c r="A40" s="3" t="s">
        <v>84</v>
      </c>
      <c r="B40" s="153">
        <v>0</v>
      </c>
      <c r="C40" s="153">
        <v>0</v>
      </c>
      <c r="D40" s="153">
        <v>0</v>
      </c>
      <c r="E40" s="153">
        <v>0</v>
      </c>
      <c r="F40" s="153">
        <v>0</v>
      </c>
      <c r="G40" s="153">
        <f>$F$40</f>
        <v>0</v>
      </c>
      <c r="H40" s="153">
        <f t="shared" ref="H40:K40" si="23">$F$40</f>
        <v>0</v>
      </c>
      <c r="I40" s="153">
        <f t="shared" si="23"/>
        <v>0</v>
      </c>
      <c r="J40" s="153">
        <f t="shared" si="23"/>
        <v>0</v>
      </c>
      <c r="K40" s="153">
        <f t="shared" si="23"/>
        <v>0</v>
      </c>
      <c r="L40" s="42"/>
    </row>
    <row r="41" spans="1:13" ht="75" x14ac:dyDescent="0.25">
      <c r="A41" s="3" t="s">
        <v>78</v>
      </c>
      <c r="B41" s="153">
        <v>58510</v>
      </c>
      <c r="C41" s="153">
        <v>61774</v>
      </c>
      <c r="D41" s="153">
        <v>68184</v>
      </c>
      <c r="E41" s="153">
        <v>76534</v>
      </c>
      <c r="F41" s="153">
        <v>84800</v>
      </c>
      <c r="G41" s="153">
        <f>$F$41</f>
        <v>84800</v>
      </c>
      <c r="H41" s="153">
        <f t="shared" ref="H41:K41" si="24">$F$41</f>
        <v>84800</v>
      </c>
      <c r="I41" s="153">
        <f t="shared" si="24"/>
        <v>84800</v>
      </c>
      <c r="J41" s="153">
        <f t="shared" si="24"/>
        <v>84800</v>
      </c>
      <c r="K41" s="153">
        <f t="shared" si="24"/>
        <v>84800</v>
      </c>
      <c r="L41" s="153"/>
    </row>
    <row r="42" spans="1:13" s="6" customFormat="1" x14ac:dyDescent="0.25">
      <c r="A42" s="2" t="s">
        <v>2</v>
      </c>
      <c r="B42" s="153">
        <v>633</v>
      </c>
      <c r="C42" s="153">
        <v>-1623</v>
      </c>
      <c r="D42" s="153">
        <v>-7603</v>
      </c>
      <c r="E42" s="153">
        <v>-4402</v>
      </c>
      <c r="F42" s="153">
        <v>-4800</v>
      </c>
      <c r="G42" s="153">
        <f>F42</f>
        <v>-4800</v>
      </c>
      <c r="H42" s="153">
        <f t="shared" ref="H42:K42" si="25">G42</f>
        <v>-4800</v>
      </c>
      <c r="I42" s="153">
        <f t="shared" si="25"/>
        <v>-4800</v>
      </c>
      <c r="J42" s="153">
        <f t="shared" si="25"/>
        <v>-4800</v>
      </c>
      <c r="K42" s="153">
        <f t="shared" si="25"/>
        <v>-4800</v>
      </c>
      <c r="L42" s="153"/>
    </row>
    <row r="43" spans="1:13" x14ac:dyDescent="0.25">
      <c r="A43" s="2" t="s">
        <v>65</v>
      </c>
      <c r="B43" s="153">
        <v>163401</v>
      </c>
      <c r="C43" s="153">
        <v>191484</v>
      </c>
      <c r="D43" s="153">
        <v>195563</v>
      </c>
      <c r="E43" s="153">
        <v>211247</v>
      </c>
      <c r="F43" s="153">
        <v>245084</v>
      </c>
      <c r="G43" s="153">
        <f>'Alphabet-IS'!G40</f>
        <v>363333.44545644894</v>
      </c>
      <c r="H43" s="153">
        <f>'Alphabet-IS'!H40</f>
        <v>511281.64822037308</v>
      </c>
      <c r="I43" s="153">
        <f>'Alphabet-IS'!I40</f>
        <v>698794.47347721085</v>
      </c>
      <c r="J43" s="153">
        <f>'Alphabet-IS'!J40</f>
        <v>945417.06538291019</v>
      </c>
      <c r="K43" s="153">
        <f>'Alphabet-IS'!K40</f>
        <v>1302460.5509440687</v>
      </c>
      <c r="L43" s="153"/>
    </row>
    <row r="44" spans="1:13" s="6" customFormat="1" ht="15.75" thickBot="1" x14ac:dyDescent="0.3">
      <c r="A44" s="145" t="s">
        <v>66</v>
      </c>
      <c r="B44" s="149">
        <f t="shared" ref="B44:D44" si="26">SUM(B41:B43)</f>
        <v>222544</v>
      </c>
      <c r="C44" s="149">
        <f t="shared" si="26"/>
        <v>251635</v>
      </c>
      <c r="D44" s="149">
        <f t="shared" si="26"/>
        <v>256144</v>
      </c>
      <c r="E44" s="149">
        <f>SUM(E41:E43)</f>
        <v>283379</v>
      </c>
      <c r="F44" s="149">
        <f>SUM(F41:F43)</f>
        <v>325084</v>
      </c>
      <c r="G44" s="149">
        <f t="shared" ref="G44:K44" si="27">SUM(G41:G43)</f>
        <v>443333.44545644894</v>
      </c>
      <c r="H44" s="149">
        <f t="shared" si="27"/>
        <v>591281.64822037308</v>
      </c>
      <c r="I44" s="149">
        <f t="shared" si="27"/>
        <v>778794.47347721085</v>
      </c>
      <c r="J44" s="149">
        <f t="shared" si="27"/>
        <v>1025417.0653829102</v>
      </c>
      <c r="K44" s="149">
        <f t="shared" si="27"/>
        <v>1382460.5509440687</v>
      </c>
      <c r="L44" s="149"/>
    </row>
    <row r="45" spans="1:13" ht="15.75" thickTop="1" x14ac:dyDescent="0.25">
      <c r="A45" s="145" t="s">
        <v>67</v>
      </c>
      <c r="B45" s="154">
        <f t="shared" ref="B45:D45" si="28">B37+B44</f>
        <v>319616</v>
      </c>
      <c r="C45" s="154">
        <f t="shared" si="28"/>
        <v>359268</v>
      </c>
      <c r="D45" s="154">
        <f t="shared" si="28"/>
        <v>365264</v>
      </c>
      <c r="E45" s="154">
        <f>E37+E44</f>
        <v>402392</v>
      </c>
      <c r="F45" s="154">
        <f>F37+F44</f>
        <v>450256</v>
      </c>
      <c r="G45" s="154">
        <f t="shared" ref="G45:K45" si="29">G37+G44</f>
        <v>566304.2267696592</v>
      </c>
      <c r="H45" s="154">
        <f t="shared" si="29"/>
        <v>711403.68661997374</v>
      </c>
      <c r="I45" s="154">
        <f t="shared" si="29"/>
        <v>898137.1606382936</v>
      </c>
      <c r="J45" s="154">
        <f t="shared" si="29"/>
        <v>1146505.2333134206</v>
      </c>
      <c r="K45" s="154">
        <f t="shared" si="29"/>
        <v>1508345.5670538936</v>
      </c>
      <c r="L45" s="154"/>
    </row>
    <row r="46" spans="1:13" x14ac:dyDescent="0.25">
      <c r="A46" s="86"/>
      <c r="B46" s="684"/>
      <c r="C46" s="684"/>
      <c r="D46" s="684"/>
      <c r="E46" s="684"/>
      <c r="F46" s="86"/>
      <c r="G46" s="168"/>
      <c r="H46" s="169"/>
      <c r="I46" s="169"/>
      <c r="J46" s="169"/>
      <c r="K46" s="170"/>
    </row>
    <row r="47" spans="1:13" x14ac:dyDescent="0.25">
      <c r="A47" s="29" t="s">
        <v>83</v>
      </c>
      <c r="B47" s="167">
        <f>B20-B45</f>
        <v>0</v>
      </c>
      <c r="C47" s="167">
        <f t="shared" ref="C47:K47" si="30">C20-C45</f>
        <v>0</v>
      </c>
      <c r="D47" s="167">
        <f t="shared" si="30"/>
        <v>0</v>
      </c>
      <c r="E47" s="167">
        <f t="shared" si="30"/>
        <v>0</v>
      </c>
      <c r="F47" s="167">
        <f t="shared" si="30"/>
        <v>0</v>
      </c>
      <c r="G47" s="167">
        <f t="shared" si="30"/>
        <v>0</v>
      </c>
      <c r="H47" s="167">
        <f t="shared" si="30"/>
        <v>0</v>
      </c>
      <c r="I47" s="167">
        <f t="shared" si="30"/>
        <v>0</v>
      </c>
      <c r="J47" s="167">
        <f t="shared" si="30"/>
        <v>0</v>
      </c>
      <c r="K47" s="167">
        <f t="shared" si="30"/>
        <v>0</v>
      </c>
      <c r="L47" s="167"/>
    </row>
    <row r="48" spans="1:13" x14ac:dyDescent="0.25">
      <c r="G48" s="41"/>
      <c r="H48" s="41"/>
      <c r="I48" s="41"/>
      <c r="J48" s="41"/>
      <c r="K48" s="41"/>
    </row>
    <row r="49" spans="1:14" x14ac:dyDescent="0.25">
      <c r="A49" s="86"/>
      <c r="G49" s="41"/>
      <c r="H49" s="41"/>
      <c r="I49" s="41"/>
      <c r="J49" s="41"/>
      <c r="K49" s="41"/>
    </row>
    <row r="50" spans="1:14" x14ac:dyDescent="0.25">
      <c r="A50" s="111"/>
      <c r="G50" s="41"/>
      <c r="H50" s="41"/>
      <c r="I50" s="41"/>
      <c r="J50" s="41"/>
      <c r="K50" s="41"/>
    </row>
    <row r="51" spans="1:14" x14ac:dyDescent="0.25">
      <c r="A51" s="111"/>
      <c r="G51" s="41"/>
      <c r="H51" s="41"/>
      <c r="I51" s="41"/>
      <c r="J51" s="41"/>
      <c r="K51" s="41"/>
    </row>
    <row r="52" spans="1:14" x14ac:dyDescent="0.25">
      <c r="A52" s="1"/>
      <c r="B52" s="33"/>
      <c r="C52" s="33"/>
      <c r="D52" s="33"/>
      <c r="E52" s="33"/>
      <c r="G52" s="44"/>
      <c r="H52" s="44"/>
      <c r="I52" s="44"/>
      <c r="J52" s="44"/>
      <c r="K52" s="44"/>
    </row>
    <row r="53" spans="1:14" x14ac:dyDescent="0.25">
      <c r="A53" s="58"/>
      <c r="B53" s="112"/>
      <c r="C53" s="112"/>
      <c r="D53" s="112"/>
      <c r="E53" s="112"/>
      <c r="G53" s="113"/>
      <c r="H53" s="114"/>
      <c r="I53" s="114"/>
      <c r="J53" s="114"/>
      <c r="K53" s="114"/>
    </row>
    <row r="54" spans="1:14" x14ac:dyDescent="0.25">
      <c r="A54" s="93"/>
      <c r="B54" s="33"/>
      <c r="C54" s="33"/>
      <c r="D54" s="33"/>
      <c r="E54" s="33"/>
      <c r="G54" s="44"/>
      <c r="H54" s="44"/>
      <c r="I54" s="44"/>
      <c r="J54" s="44"/>
      <c r="K54" s="44"/>
    </row>
    <row r="55" spans="1:14" x14ac:dyDescent="0.25">
      <c r="A55" s="58"/>
      <c r="B55" s="112"/>
      <c r="C55" s="112"/>
      <c r="D55" s="112"/>
      <c r="E55" s="112"/>
      <c r="G55" s="113"/>
      <c r="H55" s="114"/>
      <c r="I55" s="114"/>
      <c r="J55" s="114"/>
      <c r="K55" s="114"/>
    </row>
    <row r="56" spans="1:14" x14ac:dyDescent="0.25">
      <c r="A56" s="93"/>
      <c r="B56" s="33"/>
      <c r="C56" s="33"/>
      <c r="D56" s="33"/>
      <c r="E56" s="33"/>
      <c r="G56" s="44"/>
      <c r="H56" s="44"/>
      <c r="I56" s="44"/>
      <c r="J56" s="44"/>
      <c r="K56" s="44"/>
    </row>
    <row r="57" spans="1:14" x14ac:dyDescent="0.25">
      <c r="A57" s="58"/>
      <c r="B57" s="27"/>
      <c r="C57" s="27"/>
      <c r="D57" s="27"/>
      <c r="E57" s="27"/>
      <c r="G57" s="115"/>
      <c r="H57" s="45"/>
      <c r="I57" s="45"/>
      <c r="J57" s="45"/>
      <c r="K57" s="45"/>
    </row>
    <row r="58" spans="1:14" x14ac:dyDescent="0.25">
      <c r="A58" s="93"/>
      <c r="G58" s="41"/>
      <c r="H58" s="41"/>
      <c r="I58" s="41"/>
      <c r="J58" s="41"/>
      <c r="K58" s="41"/>
    </row>
    <row r="59" spans="1:14" x14ac:dyDescent="0.25">
      <c r="A59" s="111"/>
      <c r="G59" s="41"/>
      <c r="H59" s="41"/>
      <c r="I59" s="41"/>
      <c r="J59" s="41"/>
      <c r="K59" s="41"/>
    </row>
    <row r="60" spans="1:14" x14ac:dyDescent="0.25">
      <c r="A60" s="93"/>
      <c r="B60" s="33"/>
      <c r="C60" s="33"/>
      <c r="D60" s="33"/>
      <c r="E60" s="33"/>
      <c r="F60" s="33"/>
      <c r="G60" s="44"/>
      <c r="H60" s="44"/>
      <c r="I60" s="44"/>
      <c r="J60" s="44"/>
      <c r="K60" s="44"/>
    </row>
    <row r="61" spans="1:14" x14ac:dyDescent="0.25">
      <c r="A61" s="58"/>
      <c r="B61" s="112"/>
      <c r="C61" s="112"/>
      <c r="D61" s="112"/>
      <c r="E61" s="112"/>
      <c r="F61" s="112"/>
      <c r="G61" s="113"/>
      <c r="H61" s="116"/>
      <c r="I61" s="116"/>
      <c r="J61" s="116"/>
      <c r="K61" s="116"/>
      <c r="L61" s="112"/>
      <c r="M61" s="112"/>
      <c r="N61" s="112"/>
    </row>
    <row r="62" spans="1:14" x14ac:dyDescent="0.25">
      <c r="A62" s="1"/>
      <c r="G62" s="41"/>
      <c r="H62" s="41"/>
      <c r="I62" s="41"/>
      <c r="J62" s="41"/>
      <c r="K62" s="41"/>
    </row>
    <row r="63" spans="1:14" x14ac:dyDescent="0.25">
      <c r="A63" s="58"/>
    </row>
  </sheetData>
  <mergeCells count="2">
    <mergeCell ref="D46:E46"/>
    <mergeCell ref="B46:C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B397-C6AD-4300-94AB-E5816BC436A6}">
  <dimension ref="A1:M61"/>
  <sheetViews>
    <sheetView workbookViewId="0">
      <selection activeCell="B1" sqref="B1"/>
    </sheetView>
  </sheetViews>
  <sheetFormatPr defaultRowHeight="15" x14ac:dyDescent="0.25"/>
  <cols>
    <col min="1" max="1" width="6.7109375" customWidth="1"/>
    <col min="2" max="2" width="50.85546875" customWidth="1"/>
    <col min="3" max="3" width="18" customWidth="1"/>
    <col min="4" max="4" width="13.5703125" customWidth="1"/>
    <col min="5" max="5" width="15" customWidth="1"/>
    <col min="6" max="6" width="12.7109375" customWidth="1"/>
    <col min="7" max="7" width="12.28515625" customWidth="1"/>
  </cols>
  <sheetData>
    <row r="1" spans="1:8" ht="15.75" thickBot="1" x14ac:dyDescent="0.3">
      <c r="B1" s="349" t="s">
        <v>174</v>
      </c>
      <c r="C1" s="350"/>
      <c r="D1" s="351"/>
      <c r="E1" s="351"/>
      <c r="F1" s="351"/>
      <c r="G1" s="351"/>
      <c r="H1" s="351"/>
    </row>
    <row r="2" spans="1:8" x14ac:dyDescent="0.25">
      <c r="B2" s="352" t="s">
        <v>14</v>
      </c>
      <c r="C2" s="350"/>
      <c r="D2" s="351"/>
      <c r="E2" s="351"/>
      <c r="F2" s="351"/>
      <c r="H2" s="351"/>
    </row>
    <row r="3" spans="1:8" x14ac:dyDescent="0.25">
      <c r="B3" s="350" t="s">
        <v>33</v>
      </c>
      <c r="C3" s="353">
        <v>45670</v>
      </c>
      <c r="D3" s="351"/>
      <c r="E3" s="351"/>
      <c r="F3" s="351"/>
      <c r="G3" s="351"/>
      <c r="H3" s="351"/>
    </row>
    <row r="4" spans="1:8" x14ac:dyDescent="0.25">
      <c r="B4" s="350" t="s">
        <v>175</v>
      </c>
      <c r="C4" s="353">
        <v>45657</v>
      </c>
      <c r="D4" s="351"/>
      <c r="E4" s="351"/>
      <c r="F4" s="351"/>
      <c r="G4" s="351"/>
      <c r="H4" s="351"/>
    </row>
    <row r="5" spans="1:8" x14ac:dyDescent="0.25">
      <c r="B5" s="350" t="s">
        <v>176</v>
      </c>
      <c r="C5" t="str">
        <f>IF(D5=A60,B60,B61)</f>
        <v>Year end discounting</v>
      </c>
      <c r="D5">
        <v>2</v>
      </c>
      <c r="F5" s="351"/>
      <c r="G5" s="351"/>
      <c r="H5" s="351"/>
    </row>
    <row r="6" spans="1:8" ht="15.75" thickBot="1" x14ac:dyDescent="0.3">
      <c r="B6" s="351"/>
      <c r="C6" s="351"/>
      <c r="D6" s="351"/>
      <c r="E6" s="351"/>
      <c r="F6" s="351"/>
      <c r="G6" s="351"/>
      <c r="H6" s="351"/>
    </row>
    <row r="7" spans="1:8" x14ac:dyDescent="0.25">
      <c r="B7" s="691" t="s">
        <v>177</v>
      </c>
      <c r="C7" s="354">
        <v>12</v>
      </c>
      <c r="D7" s="354">
        <f>12</f>
        <v>12</v>
      </c>
      <c r="E7" s="354">
        <f>'[1]CocaCola-CFS'!C3</f>
        <v>12</v>
      </c>
      <c r="F7" s="354">
        <f>'[1]CocaCola-CFS'!D3</f>
        <v>12</v>
      </c>
      <c r="G7" s="355">
        <f>'[1]CocaCola-CFS'!E3</f>
        <v>12</v>
      </c>
      <c r="H7" s="356"/>
    </row>
    <row r="8" spans="1:8" ht="15.75" thickBot="1" x14ac:dyDescent="0.3">
      <c r="B8" s="692"/>
      <c r="C8" s="357">
        <v>46022</v>
      </c>
      <c r="D8" s="357">
        <f>EOMONTH(C8,12)</f>
        <v>46387</v>
      </c>
      <c r="E8" s="357">
        <f>EOMONTH(D8,12)</f>
        <v>46752</v>
      </c>
      <c r="F8" s="357">
        <f>EOMONTH(E8,12)</f>
        <v>47118</v>
      </c>
      <c r="G8" s="358">
        <f>EOMONTH(F8,12)</f>
        <v>47483</v>
      </c>
      <c r="H8" s="359"/>
    </row>
    <row r="9" spans="1:8" x14ac:dyDescent="0.25">
      <c r="B9" s="360"/>
      <c r="C9" s="361"/>
      <c r="D9" s="361"/>
      <c r="E9" s="361"/>
      <c r="F9" s="361"/>
      <c r="G9" s="361"/>
      <c r="H9" s="361"/>
    </row>
    <row r="10" spans="1:8" x14ac:dyDescent="0.25">
      <c r="B10" s="351" t="s">
        <v>178</v>
      </c>
      <c r="C10" s="362">
        <f>'Alphabet-IS'!G25</f>
        <v>132775.59355577425</v>
      </c>
      <c r="D10" s="362">
        <f>'Alphabet-IS'!H25</f>
        <v>167876.03653325804</v>
      </c>
      <c r="E10" s="362">
        <f>'Alphabet-IS'!I25</f>
        <v>214682.99841760821</v>
      </c>
      <c r="F10" s="362">
        <f>'Alphabet-IS'!J25</f>
        <v>284684.37720031745</v>
      </c>
      <c r="G10" s="362">
        <f>'Alphabet-IS'!K25</f>
        <v>415581.90732544695</v>
      </c>
      <c r="H10" s="363"/>
    </row>
    <row r="11" spans="1:8" x14ac:dyDescent="0.25">
      <c r="B11" s="351" t="s">
        <v>179</v>
      </c>
      <c r="C11" s="416">
        <f>'Alphabet-IS'!G31</f>
        <v>0.15744103339325019</v>
      </c>
      <c r="D11" s="416">
        <f>'Alphabet-IS'!H31</f>
        <v>0.15744103339325019</v>
      </c>
      <c r="E11" s="416">
        <f>'Alphabet-IS'!I31</f>
        <v>0.15744103339325016</v>
      </c>
      <c r="F11" s="416">
        <f>'Alphabet-IS'!J31</f>
        <v>0.15744103339325019</v>
      </c>
      <c r="G11" s="416">
        <f>'Alphabet-IS'!K31</f>
        <v>0.15744103339325019</v>
      </c>
      <c r="H11" s="364"/>
    </row>
    <row r="12" spans="1:8" x14ac:dyDescent="0.25">
      <c r="A12" t="s">
        <v>261</v>
      </c>
      <c r="B12" s="365" t="s">
        <v>180</v>
      </c>
      <c r="C12" s="366">
        <f>C10*(1-C11)</f>
        <v>111871.26689695098</v>
      </c>
      <c r="D12" s="366">
        <f t="shared" ref="D12:G12" si="0">D10*(1-D11)</f>
        <v>141445.45985949886</v>
      </c>
      <c r="E12" s="366">
        <f t="shared" si="0"/>
        <v>180883.08529477849</v>
      </c>
      <c r="F12" s="366">
        <f t="shared" si="0"/>
        <v>239863.37466298562</v>
      </c>
      <c r="G12" s="366">
        <f t="shared" si="0"/>
        <v>350152.26237659063</v>
      </c>
      <c r="H12" s="367"/>
    </row>
    <row r="13" spans="1:8" x14ac:dyDescent="0.25">
      <c r="B13" s="368" t="s">
        <v>181</v>
      </c>
      <c r="C13" s="369">
        <f>'Fixed Assets Schedule'!G11+'Fixed Assets Schedule'!G22</f>
        <v>20346.997153386063</v>
      </c>
      <c r="D13" s="369">
        <f>'Fixed Assets Schedule'!H11+'Fixed Assets Schedule'!H22</f>
        <v>24387.149328888856</v>
      </c>
      <c r="E13" s="369">
        <f>'Fixed Assets Schedule'!I11+'Fixed Assets Schedule'!I22</f>
        <v>29565.334144315439</v>
      </c>
      <c r="F13" s="369">
        <f>'Fixed Assets Schedule'!J11+'Fixed Assets Schedule'!J22</f>
        <v>36894.915557402281</v>
      </c>
      <c r="G13" s="369">
        <f>'Fixed Assets Schedule'!K11+'Fixed Assets Schedule'!K22</f>
        <v>49668.005769900679</v>
      </c>
      <c r="H13" s="370"/>
    </row>
    <row r="14" spans="1:8" x14ac:dyDescent="0.25">
      <c r="B14" s="368" t="s">
        <v>182</v>
      </c>
      <c r="C14" s="418">
        <f>SUM('Alphabet-CFS'!B13:B14)</f>
        <v>-9952.7591638841386</v>
      </c>
      <c r="D14" s="418">
        <f>SUM('Alphabet-CFS'!C13:C14)</f>
        <v>-10783.091449530431</v>
      </c>
      <c r="E14" s="418">
        <f>SUM('Alphabet-CFS'!D13:D14)</f>
        <v>-13820.479522003623</v>
      </c>
      <c r="F14" s="418">
        <f>SUM('Alphabet-CFS'!E13:E14)</f>
        <v>-19562.517259453965</v>
      </c>
      <c r="G14" s="418">
        <f>SUM('Alphabet-CFS'!F13:F14)</f>
        <v>-34091.141588579267</v>
      </c>
      <c r="H14" s="370"/>
    </row>
    <row r="15" spans="1:8" x14ac:dyDescent="0.25">
      <c r="B15" s="368" t="s">
        <v>183</v>
      </c>
      <c r="C15" s="418">
        <f>'Alphabet-CFS'!B19</f>
        <v>-28747.495532485074</v>
      </c>
      <c r="D15" s="418">
        <f>'Alphabet-CFS'!C19</f>
        <v>-60016.522735975479</v>
      </c>
      <c r="E15" s="418">
        <f>'Alphabet-CFS'!D19</f>
        <v>-75230.812162301067</v>
      </c>
      <c r="F15" s="418">
        <f>'Alphabet-CFS'!E19</f>
        <v>-101533.17217257863</v>
      </c>
      <c r="G15" s="418">
        <f>'Alphabet-CFS'!F19</f>
        <v>-162311.58476748446</v>
      </c>
      <c r="H15" s="370"/>
    </row>
    <row r="16" spans="1:8" x14ac:dyDescent="0.25">
      <c r="B16" s="365" t="s">
        <v>184</v>
      </c>
      <c r="C16" s="366">
        <f>SUM(C12:C15)</f>
        <v>93518.009353967835</v>
      </c>
      <c r="D16" s="366">
        <f t="shared" ref="D16:G16" si="1">SUM(D12:D15)</f>
        <v>95032.995002881828</v>
      </c>
      <c r="E16" s="366">
        <f t="shared" si="1"/>
        <v>121397.12775478925</v>
      </c>
      <c r="F16" s="366">
        <f t="shared" si="1"/>
        <v>155662.60078835531</v>
      </c>
      <c r="G16" s="366">
        <f t="shared" si="1"/>
        <v>203417.54179042758</v>
      </c>
      <c r="H16" s="367"/>
    </row>
    <row r="17" spans="1:12" x14ac:dyDescent="0.25">
      <c r="A17" s="102">
        <f>C17</f>
        <v>8.1959897476253651E-2</v>
      </c>
      <c r="B17" s="371" t="s">
        <v>185</v>
      </c>
      <c r="C17" s="372">
        <f>WACC!G9</f>
        <v>8.1959897476253651E-2</v>
      </c>
      <c r="D17" s="373"/>
      <c r="E17" s="373"/>
      <c r="F17" s="373"/>
      <c r="G17" s="373"/>
      <c r="H17" s="363"/>
      <c r="J17" s="346"/>
    </row>
    <row r="18" spans="1:12" x14ac:dyDescent="0.25">
      <c r="B18" s="351" t="s">
        <v>186</v>
      </c>
      <c r="C18" s="521">
        <f>10/12</f>
        <v>0.83333333333333337</v>
      </c>
      <c r="D18" s="374">
        <v>1</v>
      </c>
      <c r="E18" s="374">
        <v>1</v>
      </c>
      <c r="F18" s="374">
        <v>1</v>
      </c>
      <c r="G18" s="374">
        <v>1</v>
      </c>
      <c r="H18" s="375"/>
    </row>
    <row r="19" spans="1:12" x14ac:dyDescent="0.25">
      <c r="B19" s="351" t="s">
        <v>187</v>
      </c>
      <c r="C19" s="521">
        <f>2/12</f>
        <v>0.16666666666666666</v>
      </c>
      <c r="D19" s="374">
        <f>C19+1</f>
        <v>1.1666666666666667</v>
      </c>
      <c r="E19" s="374">
        <f t="shared" ref="E19:G19" si="2">D19+1</f>
        <v>2.166666666666667</v>
      </c>
      <c r="F19" s="374">
        <f t="shared" si="2"/>
        <v>3.166666666666667</v>
      </c>
      <c r="G19" s="374">
        <f t="shared" si="2"/>
        <v>4.166666666666667</v>
      </c>
      <c r="H19" s="375"/>
    </row>
    <row r="20" spans="1:12" x14ac:dyDescent="0.25">
      <c r="B20" s="351" t="s">
        <v>188</v>
      </c>
      <c r="C20" s="376">
        <f>C19/2</f>
        <v>8.3333333333333329E-2</v>
      </c>
      <c r="D20" s="376">
        <f>D19-0.5</f>
        <v>0.66666666666666674</v>
      </c>
      <c r="E20" s="376">
        <f t="shared" ref="E20:G20" si="3">E19-0.5</f>
        <v>1.666666666666667</v>
      </c>
      <c r="F20" s="376">
        <f t="shared" si="3"/>
        <v>2.666666666666667</v>
      </c>
      <c r="G20" s="376">
        <f t="shared" si="3"/>
        <v>3.666666666666667</v>
      </c>
      <c r="H20" s="377"/>
    </row>
    <row r="21" spans="1:12" x14ac:dyDescent="0.25">
      <c r="B21" s="368" t="s">
        <v>189</v>
      </c>
      <c r="C21" s="378">
        <f>1/(1+$A$17)^C19</f>
        <v>0.98695679023147098</v>
      </c>
      <c r="D21" s="378">
        <f t="shared" ref="D21:G21" si="4">1/(1+$A$17)^D19</f>
        <v>0.91219350415261791</v>
      </c>
      <c r="E21" s="378">
        <f t="shared" si="4"/>
        <v>0.84309363616930011</v>
      </c>
      <c r="F21" s="378">
        <f t="shared" si="4"/>
        <v>0.77922817484813856</v>
      </c>
      <c r="G21" s="378">
        <f t="shared" si="4"/>
        <v>0.72020060694092458</v>
      </c>
      <c r="H21" s="294"/>
    </row>
    <row r="22" spans="1:12" ht="15.75" thickBot="1" x14ac:dyDescent="0.3">
      <c r="B22" s="368" t="s">
        <v>190</v>
      </c>
      <c r="C22" s="378">
        <f>1/(1+$A$17)^C20</f>
        <v>0.99345698962334095</v>
      </c>
      <c r="D22" s="378">
        <f t="shared" ref="D22:G22" si="5">1/(1+$A$17)^D20</f>
        <v>0.94883906587390554</v>
      </c>
      <c r="E22" s="378">
        <f t="shared" si="5"/>
        <v>0.87696324797909642</v>
      </c>
      <c r="F22" s="378">
        <f t="shared" si="5"/>
        <v>0.8105321186345944</v>
      </c>
      <c r="G22" s="378">
        <f t="shared" si="5"/>
        <v>0.74913323546022059</v>
      </c>
      <c r="H22" s="377"/>
    </row>
    <row r="23" spans="1:12" ht="15.75" thickBot="1" x14ac:dyDescent="0.3">
      <c r="B23" s="379" t="s">
        <v>191</v>
      </c>
      <c r="C23" s="380">
        <f>C16*C18*CHOOSE($D$5,C22,C21)</f>
        <v>76915.195284023983</v>
      </c>
      <c r="D23" s="380">
        <f t="shared" ref="D23:G23" si="6">D16*D18*CHOOSE($D$5,D22,D21)</f>
        <v>86688.480721797008</v>
      </c>
      <c r="E23" s="380">
        <f t="shared" si="6"/>
        <v>102349.14585929434</v>
      </c>
      <c r="F23" s="380">
        <f t="shared" si="6"/>
        <v>121296.68430442452</v>
      </c>
      <c r="G23" s="380">
        <f t="shared" si="6"/>
        <v>146501.43705989682</v>
      </c>
      <c r="H23" s="381"/>
    </row>
    <row r="24" spans="1:12" ht="15.75" thickBot="1" x14ac:dyDescent="0.3">
      <c r="B24" s="351"/>
      <c r="E24" s="363"/>
      <c r="F24" s="363"/>
      <c r="G24" s="363"/>
      <c r="H24" s="363"/>
    </row>
    <row r="25" spans="1:12" ht="15.75" thickBot="1" x14ac:dyDescent="0.3">
      <c r="B25" s="379" t="s">
        <v>192</v>
      </c>
      <c r="C25" s="382">
        <f>SUM(C23:H23)</f>
        <v>533750.94322943664</v>
      </c>
      <c r="E25" s="351"/>
      <c r="F25" s="351"/>
      <c r="G25" s="351"/>
      <c r="H25" s="351"/>
    </row>
    <row r="26" spans="1:12" ht="15.75" thickBot="1" x14ac:dyDescent="0.3">
      <c r="B26" s="351"/>
      <c r="C26" s="351"/>
      <c r="D26" s="362"/>
      <c r="E26" s="363"/>
      <c r="F26" s="363"/>
      <c r="G26" s="363"/>
      <c r="H26" s="363"/>
    </row>
    <row r="27" spans="1:12" ht="15.75" thickBot="1" x14ac:dyDescent="0.3">
      <c r="B27" s="383" t="s">
        <v>193</v>
      </c>
      <c r="C27" s="693" t="s">
        <v>194</v>
      </c>
      <c r="D27" s="694"/>
      <c r="E27" s="384"/>
      <c r="F27" s="384"/>
      <c r="G27" s="362"/>
      <c r="H27" s="362"/>
    </row>
    <row r="28" spans="1:12" x14ac:dyDescent="0.25">
      <c r="B28" s="351" t="s">
        <v>195</v>
      </c>
      <c r="C28" s="351"/>
      <c r="D28" s="385">
        <v>1.4E-2</v>
      </c>
      <c r="E28" s="695"/>
      <c r="F28" s="695"/>
      <c r="G28" s="695"/>
      <c r="H28" s="695"/>
    </row>
    <row r="29" spans="1:12" ht="15.75" thickBot="1" x14ac:dyDescent="0.3">
      <c r="B29" s="351" t="s">
        <v>196</v>
      </c>
      <c r="C29" s="351"/>
      <c r="D29" s="362">
        <f>G16*(1+D28)/(C17-D28)</f>
        <v>3035104.4518212555</v>
      </c>
      <c r="E29" s="362"/>
    </row>
    <row r="30" spans="1:12" ht="19.5" thickBot="1" x14ac:dyDescent="0.35">
      <c r="B30" s="351" t="s">
        <v>197</v>
      </c>
      <c r="C30" s="351"/>
      <c r="D30" s="386">
        <f>D29*CHOOSE(D5,G21,G22)</f>
        <v>2273697.6179525764</v>
      </c>
      <c r="E30" s="362"/>
      <c r="H30" s="685" t="s">
        <v>198</v>
      </c>
      <c r="I30" s="686"/>
      <c r="J30" s="686"/>
      <c r="K30" s="686"/>
      <c r="L30" s="687"/>
    </row>
    <row r="31" spans="1:12" ht="15.75" thickBot="1" x14ac:dyDescent="0.3">
      <c r="B31" s="365" t="s">
        <v>199</v>
      </c>
      <c r="C31" s="365"/>
      <c r="D31" s="366">
        <f>D30+SUM(C23:G23)</f>
        <v>2807448.5611820128</v>
      </c>
      <c r="E31" s="384"/>
      <c r="G31" s="387">
        <f>D39</f>
        <v>505.6861761198997</v>
      </c>
      <c r="H31" s="388">
        <v>6.7500000000000004E-2</v>
      </c>
      <c r="I31" s="389">
        <f>H31+1%</f>
        <v>7.7499999999999999E-2</v>
      </c>
      <c r="J31" s="389">
        <f t="shared" ref="J31:L31" si="7">I31+1%</f>
        <v>8.7499999999999994E-2</v>
      </c>
      <c r="K31" s="389">
        <f t="shared" si="7"/>
        <v>9.7499999999999989E-2</v>
      </c>
      <c r="L31" s="389">
        <f t="shared" si="7"/>
        <v>0.10749999999999998</v>
      </c>
    </row>
    <row r="32" spans="1:12" x14ac:dyDescent="0.25">
      <c r="B32" s="351" t="s">
        <v>200</v>
      </c>
      <c r="C32" s="351"/>
      <c r="D32" s="362">
        <f>D48</f>
        <v>140761</v>
      </c>
      <c r="E32" s="362"/>
      <c r="F32" s="688" t="str">
        <f>C27</f>
        <v>Gordon growth Method</v>
      </c>
      <c r="G32" s="391">
        <v>0</v>
      </c>
      <c r="H32" s="392">
        <f t="dataTable" ref="H32:L36" dt2D="1" dtr="1" r1="C17" r2="D28"/>
        <v>525.55845740718371</v>
      </c>
      <c r="I32" s="393">
        <v>459.25118031495549</v>
      </c>
      <c r="J32" s="393">
        <v>408.13160248178087</v>
      </c>
      <c r="K32" s="393">
        <v>367.52812995199992</v>
      </c>
      <c r="L32" s="394">
        <v>334.50721587254617</v>
      </c>
    </row>
    <row r="33" spans="2:12" x14ac:dyDescent="0.25">
      <c r="B33" s="371" t="s">
        <v>201</v>
      </c>
      <c r="C33" s="371"/>
      <c r="D33" s="395">
        <f>D31+D32</f>
        <v>2948209.5611820128</v>
      </c>
      <c r="E33" s="384"/>
      <c r="F33" s="689"/>
      <c r="G33" s="396">
        <v>7.0000000000000001E-3</v>
      </c>
      <c r="H33" s="397">
        <v>575.59101512142468</v>
      </c>
      <c r="I33" s="398">
        <v>495.72847704047228</v>
      </c>
      <c r="J33" s="398">
        <v>435.73807394759848</v>
      </c>
      <c r="K33" s="398">
        <v>389.03419410701281</v>
      </c>
      <c r="L33" s="399">
        <v>351.65211983041456</v>
      </c>
    </row>
    <row r="34" spans="2:12" x14ac:dyDescent="0.25">
      <c r="B34" s="351" t="s">
        <v>202</v>
      </c>
      <c r="C34" s="351"/>
      <c r="D34" s="362">
        <f>D50</f>
        <v>10883</v>
      </c>
      <c r="E34" s="362"/>
      <c r="F34" s="689"/>
      <c r="G34" s="396">
        <v>1.4E-2</v>
      </c>
      <c r="H34" s="397">
        <v>638.71620476088754</v>
      </c>
      <c r="I34" s="398">
        <v>540.24801241413445</v>
      </c>
      <c r="J34" s="398">
        <v>468.60292093071462</v>
      </c>
      <c r="K34" s="398">
        <v>414.1460654257404</v>
      </c>
      <c r="L34" s="399">
        <v>371.36417518304398</v>
      </c>
    </row>
    <row r="35" spans="2:12" x14ac:dyDescent="0.25">
      <c r="B35" s="351" t="s">
        <v>203</v>
      </c>
      <c r="C35" s="351"/>
      <c r="D35" s="362">
        <f>D51</f>
        <v>23466</v>
      </c>
      <c r="E35" s="362"/>
      <c r="F35" s="689"/>
      <c r="G35" s="396">
        <v>2.1000000000000001E-2</v>
      </c>
      <c r="H35" s="397">
        <v>720.84682784018855</v>
      </c>
      <c r="I35" s="398">
        <v>595.79893708392535</v>
      </c>
      <c r="J35" s="398">
        <v>508.38668306817101</v>
      </c>
      <c r="K35" s="398">
        <v>443.85357332567298</v>
      </c>
      <c r="L35" s="399">
        <v>394.26662099737064</v>
      </c>
    </row>
    <row r="36" spans="2:12" ht="15.75" thickBot="1" x14ac:dyDescent="0.3">
      <c r="B36" s="351" t="s">
        <v>204</v>
      </c>
      <c r="C36" s="351"/>
      <c r="D36" s="362">
        <v>0</v>
      </c>
      <c r="E36" s="362"/>
      <c r="F36" s="690"/>
      <c r="G36" s="400">
        <v>2.8000000000000001E-2</v>
      </c>
      <c r="H36" s="401">
        <v>832.08703884633064</v>
      </c>
      <c r="I36" s="402">
        <v>667.06123438759664</v>
      </c>
      <c r="J36" s="402">
        <v>557.53133041444073</v>
      </c>
      <c r="K36" s="402">
        <v>479.54532742127554</v>
      </c>
      <c r="L36" s="403">
        <v>421.20220192365417</v>
      </c>
    </row>
    <row r="37" spans="2:12" x14ac:dyDescent="0.25">
      <c r="B37" s="365" t="s">
        <v>205</v>
      </c>
      <c r="C37" s="365"/>
      <c r="D37" s="366">
        <f>D33-D34+D35-D36</f>
        <v>2960792.5611820128</v>
      </c>
      <c r="E37" s="384"/>
      <c r="F37" s="384"/>
      <c r="G37" s="384"/>
      <c r="H37" s="384"/>
    </row>
    <row r="38" spans="2:12" ht="15.75" thickBot="1" x14ac:dyDescent="0.3">
      <c r="B38" s="351" t="s">
        <v>206</v>
      </c>
      <c r="C38" s="351"/>
      <c r="D38" s="362">
        <f>D54</f>
        <v>5855</v>
      </c>
      <c r="E38" s="362"/>
      <c r="F38" s="362"/>
      <c r="G38" s="362"/>
      <c r="H38" s="362"/>
    </row>
    <row r="39" spans="2:12" ht="15.75" thickBot="1" x14ac:dyDescent="0.3">
      <c r="B39" s="379" t="s">
        <v>207</v>
      </c>
      <c r="C39" s="404"/>
      <c r="D39" s="405">
        <f>D37/D38</f>
        <v>505.6861761198997</v>
      </c>
      <c r="E39" s="384"/>
      <c r="F39" s="384"/>
      <c r="G39" s="384"/>
      <c r="H39" s="384"/>
    </row>
    <row r="40" spans="2:12" x14ac:dyDescent="0.25">
      <c r="B40" s="406"/>
      <c r="C40" s="406"/>
      <c r="D40" s="367"/>
      <c r="E40" s="384"/>
      <c r="F40" s="362"/>
      <c r="G40" s="362"/>
      <c r="H40" s="362"/>
    </row>
    <row r="41" spans="2:12" ht="15.75" thickBot="1" x14ac:dyDescent="0.3">
      <c r="B41" s="351"/>
      <c r="C41" s="351"/>
      <c r="D41" s="362"/>
      <c r="E41" s="362"/>
      <c r="F41" s="406"/>
      <c r="G41" s="384"/>
      <c r="H41" s="384"/>
    </row>
    <row r="42" spans="2:12" ht="15.75" thickBot="1" x14ac:dyDescent="0.3">
      <c r="B42" s="383" t="s">
        <v>196</v>
      </c>
      <c r="C42" s="693" t="s">
        <v>208</v>
      </c>
      <c r="D42" s="694"/>
      <c r="E42" s="696"/>
      <c r="F42" s="696"/>
      <c r="G42" s="696"/>
      <c r="H42" s="696"/>
    </row>
    <row r="43" spans="2:12" x14ac:dyDescent="0.25">
      <c r="B43" s="351" t="s">
        <v>209</v>
      </c>
      <c r="C43" s="351"/>
      <c r="D43" s="386">
        <v>6.96</v>
      </c>
      <c r="E43" s="351"/>
      <c r="F43" s="351"/>
      <c r="G43" s="351"/>
      <c r="H43" s="351"/>
    </row>
    <row r="44" spans="2:12" ht="15.75" thickBot="1" x14ac:dyDescent="0.3">
      <c r="B44" s="351" t="s">
        <v>210</v>
      </c>
      <c r="C44" s="351"/>
      <c r="D44" s="362">
        <f>G10+G13</f>
        <v>465249.91309534764</v>
      </c>
      <c r="E44" s="351"/>
    </row>
    <row r="45" spans="2:12" ht="19.5" thickBot="1" x14ac:dyDescent="0.35">
      <c r="B45" s="351" t="s">
        <v>211</v>
      </c>
      <c r="C45" s="351"/>
      <c r="D45" s="362">
        <f>D43*D44</f>
        <v>3238139.3951436197</v>
      </c>
      <c r="E45" s="351"/>
      <c r="H45" s="685" t="s">
        <v>198</v>
      </c>
      <c r="I45" s="686"/>
      <c r="J45" s="686"/>
      <c r="K45" s="686"/>
      <c r="L45" s="687"/>
    </row>
    <row r="46" spans="2:12" ht="15.75" thickBot="1" x14ac:dyDescent="0.3">
      <c r="B46" s="351" t="s">
        <v>197</v>
      </c>
      <c r="C46" s="351"/>
      <c r="D46" s="363">
        <f>D45*CHOOSE(D5,G21,G22)</f>
        <v>2425797.8419551416</v>
      </c>
      <c r="E46" s="407"/>
      <c r="G46" s="387">
        <f>D55</f>
        <v>535.38151753792965</v>
      </c>
      <c r="H46" s="388">
        <v>6.7500000000000004E-2</v>
      </c>
      <c r="I46" s="408">
        <f>H46+1%</f>
        <v>7.7499999999999999E-2</v>
      </c>
      <c r="J46" s="389">
        <f t="shared" ref="J46:L46" si="8">I46+1%</f>
        <v>8.7499999999999994E-2</v>
      </c>
      <c r="K46" s="389">
        <f t="shared" si="8"/>
        <v>9.7499999999999989E-2</v>
      </c>
      <c r="L46" s="390">
        <f t="shared" si="8"/>
        <v>0.10749999999999998</v>
      </c>
    </row>
    <row r="47" spans="2:12" x14ac:dyDescent="0.25">
      <c r="B47" s="365" t="s">
        <v>199</v>
      </c>
      <c r="C47" s="365"/>
      <c r="D47" s="366">
        <f>D46+SUM(C23:H23)</f>
        <v>2959548.785184578</v>
      </c>
      <c r="E47" s="407"/>
      <c r="F47" s="688" t="str">
        <f>C42</f>
        <v>Exit Multiple Method</v>
      </c>
      <c r="G47" s="409">
        <v>0.15</v>
      </c>
      <c r="H47" s="392">
        <f t="dataTable" ref="H47:L51" dt2D="1" dtr="1" r1="C17" r2="D43" ca="1"/>
        <v>133.57539681880289</v>
      </c>
      <c r="I47" s="393">
        <v>131.07958002871413</v>
      </c>
      <c r="J47" s="393">
        <v>128.68208777530623</v>
      </c>
      <c r="K47" s="393">
        <v>126.37801995447657</v>
      </c>
      <c r="L47" s="394">
        <v>124.16276701928604</v>
      </c>
    </row>
    <row r="48" spans="2:12" x14ac:dyDescent="0.25">
      <c r="B48" s="351" t="s">
        <v>200</v>
      </c>
      <c r="C48" s="351"/>
      <c r="D48" s="362">
        <f>SUM('Alphabet-BS'!F8,'Alphabet-BS'!F11,'Alphabet-BS'!F13,'Alphabet-BS'!F19)</f>
        <v>140761</v>
      </c>
      <c r="E48" s="410"/>
      <c r="F48" s="689"/>
      <c r="G48" s="411">
        <f>6+G47</f>
        <v>6.15</v>
      </c>
      <c r="H48" s="397">
        <v>508.80325820476457</v>
      </c>
      <c r="I48" s="398">
        <v>493.69585808976564</v>
      </c>
      <c r="J48" s="398">
        <v>479.22135760188223</v>
      </c>
      <c r="K48" s="398">
        <v>465.34758984943062</v>
      </c>
      <c r="L48" s="399">
        <v>452.04430008756873</v>
      </c>
    </row>
    <row r="49" spans="1:13" x14ac:dyDescent="0.25">
      <c r="B49" s="371" t="s">
        <v>201</v>
      </c>
      <c r="C49" s="371"/>
      <c r="D49" s="395">
        <f>D47+D48</f>
        <v>3100309.785184578</v>
      </c>
      <c r="E49" s="412"/>
      <c r="F49" s="689"/>
      <c r="G49" s="411">
        <f>6+G48</f>
        <v>12.15</v>
      </c>
      <c r="H49" s="397">
        <v>884.03111959072635</v>
      </c>
      <c r="I49" s="398">
        <v>856.31213615081697</v>
      </c>
      <c r="J49" s="398">
        <v>829.76062742845818</v>
      </c>
      <c r="K49" s="398">
        <v>804.31715974438475</v>
      </c>
      <c r="L49" s="399">
        <v>779.92583315585136</v>
      </c>
    </row>
    <row r="50" spans="1:13" x14ac:dyDescent="0.25">
      <c r="B50" s="351" t="s">
        <v>202</v>
      </c>
      <c r="C50" s="351"/>
      <c r="D50" s="362">
        <f>'Alphabet-BS'!F31</f>
        <v>10883</v>
      </c>
      <c r="E50" s="413"/>
      <c r="F50" s="689"/>
      <c r="G50" s="411">
        <f t="shared" ref="G50:G51" si="9">6+G49</f>
        <v>18.149999999999999</v>
      </c>
      <c r="H50" s="397">
        <v>1259.2589809766878</v>
      </c>
      <c r="I50" s="398">
        <v>1218.9284142118681</v>
      </c>
      <c r="J50" s="398">
        <v>1180.2998972550338</v>
      </c>
      <c r="K50" s="398">
        <v>1143.2867296393385</v>
      </c>
      <c r="L50" s="399">
        <v>1107.8073662241338</v>
      </c>
    </row>
    <row r="51" spans="1:13" ht="15.75" thickBot="1" x14ac:dyDescent="0.3">
      <c r="B51" s="351" t="s">
        <v>203</v>
      </c>
      <c r="C51" s="351"/>
      <c r="D51" s="362">
        <f>'Alphabet-BS'!F7</f>
        <v>23466</v>
      </c>
      <c r="E51" s="413"/>
      <c r="F51" s="690"/>
      <c r="G51" s="414">
        <f t="shared" si="9"/>
        <v>24.15</v>
      </c>
      <c r="H51" s="401">
        <v>1634.4868423626494</v>
      </c>
      <c r="I51" s="402">
        <v>1581.5446922729197</v>
      </c>
      <c r="J51" s="402">
        <v>1530.8391670816097</v>
      </c>
      <c r="K51" s="402">
        <v>1482.2562995342923</v>
      </c>
      <c r="L51" s="403">
        <v>1435.6888992924164</v>
      </c>
    </row>
    <row r="52" spans="1:13" x14ac:dyDescent="0.25">
      <c r="B52" s="351" t="s">
        <v>204</v>
      </c>
      <c r="C52" s="351"/>
      <c r="D52" s="362">
        <v>0</v>
      </c>
      <c r="E52" s="413"/>
      <c r="F52" s="351"/>
      <c r="G52" s="351"/>
      <c r="H52" s="351"/>
      <c r="I52" s="351"/>
      <c r="J52" s="351"/>
      <c r="K52" s="351"/>
      <c r="L52" s="351"/>
      <c r="M52" s="351"/>
    </row>
    <row r="53" spans="1:13" x14ac:dyDescent="0.25">
      <c r="B53" s="365" t="s">
        <v>205</v>
      </c>
      <c r="C53" s="365"/>
      <c r="D53" s="415">
        <f>SUM(D49:D52)</f>
        <v>3134658.785184578</v>
      </c>
      <c r="E53" s="413"/>
      <c r="F53" s="351"/>
      <c r="G53" s="351"/>
      <c r="H53" s="351"/>
      <c r="I53" s="351"/>
      <c r="J53" s="351"/>
      <c r="K53" s="351"/>
      <c r="L53" s="351"/>
      <c r="M53" s="351"/>
    </row>
    <row r="54" spans="1:13" ht="15.75" thickBot="1" x14ac:dyDescent="0.3">
      <c r="B54" s="351" t="s">
        <v>212</v>
      </c>
      <c r="C54" s="351"/>
      <c r="D54" s="362">
        <f>WACC!E46</f>
        <v>5855</v>
      </c>
      <c r="E54" s="413"/>
      <c r="F54" s="351"/>
      <c r="G54" s="351"/>
      <c r="H54" s="351"/>
      <c r="I54" s="351"/>
      <c r="J54" s="351"/>
      <c r="K54" s="351"/>
      <c r="L54" s="351"/>
      <c r="M54" s="351"/>
    </row>
    <row r="55" spans="1:13" ht="15.75" thickBot="1" x14ac:dyDescent="0.3">
      <c r="B55" s="379" t="s">
        <v>207</v>
      </c>
      <c r="C55" s="404"/>
      <c r="D55" s="405">
        <f>D53/D54</f>
        <v>535.38151753792965</v>
      </c>
      <c r="E55" s="367"/>
      <c r="F55" s="351"/>
      <c r="G55" s="351"/>
      <c r="H55" s="351"/>
      <c r="I55" s="351"/>
      <c r="J55" s="351"/>
      <c r="K55" s="351"/>
      <c r="L55" s="351"/>
      <c r="M55" s="351"/>
    </row>
    <row r="56" spans="1:13" x14ac:dyDescent="0.25">
      <c r="B56" s="351"/>
      <c r="C56" s="351"/>
      <c r="D56" s="351"/>
      <c r="E56" s="351"/>
      <c r="F56" s="351"/>
      <c r="G56" s="351"/>
      <c r="H56" s="351"/>
    </row>
    <row r="60" spans="1:13" x14ac:dyDescent="0.25">
      <c r="A60" s="540">
        <v>1</v>
      </c>
      <c r="B60" s="540" t="s">
        <v>262</v>
      </c>
    </row>
    <row r="61" spans="1:13" x14ac:dyDescent="0.25">
      <c r="A61" s="540">
        <v>2</v>
      </c>
      <c r="B61" s="540" t="s">
        <v>263</v>
      </c>
    </row>
  </sheetData>
  <mergeCells count="9">
    <mergeCell ref="H45:L45"/>
    <mergeCell ref="F47:F51"/>
    <mergeCell ref="B7:B8"/>
    <mergeCell ref="C27:D27"/>
    <mergeCell ref="E28:H28"/>
    <mergeCell ref="H30:L30"/>
    <mergeCell ref="F32:F36"/>
    <mergeCell ref="C42:D42"/>
    <mergeCell ref="E42:H42"/>
  </mergeCells>
  <dataValidations count="2">
    <dataValidation type="list" allowBlank="1" showInputMessage="1" showErrorMessage="1" sqref="D5" xr:uid="{C0C2E7FB-3FED-47C4-A6ED-87BFE0AB762F}">
      <formula1>"1,2"</formula1>
    </dataValidation>
    <dataValidation type="list" allowBlank="1" showInputMessage="1" showErrorMessage="1" sqref="B60:B61" xr:uid="{85BF83E3-3794-4B71-92E5-0B70EA1E495A}">
      <formula1>#REF!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2338-BCC1-4A24-93A7-2C34A27EA906}">
  <dimension ref="B1:J78"/>
  <sheetViews>
    <sheetView workbookViewId="0">
      <selection activeCell="E1" sqref="E1"/>
    </sheetView>
  </sheetViews>
  <sheetFormatPr defaultRowHeight="15" x14ac:dyDescent="0.25"/>
  <cols>
    <col min="1" max="1" width="4.42578125" customWidth="1"/>
    <col min="2" max="2" width="34.140625" customWidth="1"/>
    <col min="3" max="3" width="12.85546875" customWidth="1"/>
    <col min="4" max="4" width="12.28515625" customWidth="1"/>
    <col min="5" max="5" width="13.85546875" customWidth="1"/>
    <col min="6" max="6" width="19.28515625" customWidth="1"/>
    <col min="10" max="10" width="11.5703125" customWidth="1"/>
  </cols>
  <sheetData>
    <row r="1" spans="2:10" ht="21" x14ac:dyDescent="0.35">
      <c r="B1" s="697" t="s">
        <v>214</v>
      </c>
      <c r="C1" s="698"/>
      <c r="D1" s="419"/>
      <c r="E1" s="419"/>
      <c r="F1" s="419"/>
      <c r="G1" s="419"/>
      <c r="H1" s="419"/>
      <c r="I1" s="419"/>
      <c r="J1" s="419"/>
    </row>
    <row r="2" spans="2:10" ht="15.75" x14ac:dyDescent="0.25">
      <c r="B2" s="699" t="s">
        <v>14</v>
      </c>
      <c r="C2" s="699"/>
      <c r="D2" s="419"/>
      <c r="E2" s="419"/>
      <c r="F2" s="419"/>
      <c r="G2" s="419"/>
      <c r="H2" s="420"/>
      <c r="I2" s="421"/>
      <c r="J2" s="419"/>
    </row>
    <row r="3" spans="2:10" ht="16.5" thickBot="1" x14ac:dyDescent="0.3">
      <c r="B3" s="422"/>
      <c r="C3" s="419"/>
      <c r="D3" s="419"/>
      <c r="E3" s="419"/>
      <c r="F3" s="419"/>
      <c r="G3" s="419"/>
      <c r="H3" s="420"/>
      <c r="I3" s="421"/>
      <c r="J3" s="419"/>
    </row>
    <row r="4" spans="2:10" ht="17.25" thickTop="1" thickBot="1" x14ac:dyDescent="0.3">
      <c r="B4" s="423"/>
      <c r="C4" s="424"/>
      <c r="D4" s="425"/>
      <c r="E4" s="425"/>
      <c r="F4" s="425"/>
      <c r="G4" s="425"/>
      <c r="H4" s="425"/>
      <c r="I4" s="426"/>
      <c r="J4" s="419"/>
    </row>
    <row r="5" spans="2:10" ht="20.25" thickBot="1" x14ac:dyDescent="0.3">
      <c r="B5" s="427"/>
      <c r="C5" s="700" t="s">
        <v>215</v>
      </c>
      <c r="D5" s="701"/>
      <c r="E5" s="701"/>
      <c r="F5" s="701"/>
      <c r="G5" s="702"/>
      <c r="H5" s="428"/>
      <c r="I5" s="429"/>
      <c r="J5" s="419"/>
    </row>
    <row r="6" spans="2:10" ht="16.5" thickBot="1" x14ac:dyDescent="0.3">
      <c r="B6" s="430"/>
      <c r="C6" s="431" t="s">
        <v>155</v>
      </c>
      <c r="D6" s="432" t="s">
        <v>216</v>
      </c>
      <c r="E6" s="431" t="s">
        <v>155</v>
      </c>
      <c r="F6" s="433" t="s">
        <v>217</v>
      </c>
      <c r="G6" s="434" t="s">
        <v>218</v>
      </c>
      <c r="H6" s="435"/>
      <c r="I6" s="436"/>
      <c r="J6" s="419"/>
    </row>
    <row r="7" spans="2:10" ht="47.25" x14ac:dyDescent="0.25">
      <c r="B7" s="430"/>
      <c r="C7" s="437" t="s">
        <v>219</v>
      </c>
      <c r="D7" s="438">
        <f>E27</f>
        <v>0.12454163168132118</v>
      </c>
      <c r="E7" s="439" t="s">
        <v>220</v>
      </c>
      <c r="F7" s="440">
        <f>J19</f>
        <v>3.4528999999999997E-2</v>
      </c>
      <c r="G7" s="441">
        <f>D7*F7</f>
        <v>4.3002980003243388E-3</v>
      </c>
      <c r="H7" s="435"/>
      <c r="I7" s="436"/>
      <c r="J7" s="419"/>
    </row>
    <row r="8" spans="2:10" ht="16.5" thickBot="1" x14ac:dyDescent="0.3">
      <c r="B8" s="430"/>
      <c r="C8" s="442" t="s">
        <v>221</v>
      </c>
      <c r="D8" s="443">
        <f>F27</f>
        <v>0.87545836831867874</v>
      </c>
      <c r="E8" s="444" t="s">
        <v>222</v>
      </c>
      <c r="F8" s="445">
        <f>E20</f>
        <v>8.8707358666380548E-2</v>
      </c>
      <c r="G8" s="446">
        <f>D8*F8</f>
        <v>7.765959947592932E-2</v>
      </c>
      <c r="H8" s="435"/>
      <c r="I8" s="436"/>
      <c r="J8" s="419"/>
    </row>
    <row r="9" spans="2:10" ht="16.5" thickBot="1" x14ac:dyDescent="0.3">
      <c r="B9" s="430"/>
      <c r="C9" s="703" t="s">
        <v>198</v>
      </c>
      <c r="D9" s="704"/>
      <c r="E9" s="704"/>
      <c r="F9" s="705"/>
      <c r="G9" s="447">
        <f>G7+G8</f>
        <v>8.1959897476253651E-2</v>
      </c>
      <c r="H9" s="435"/>
      <c r="I9" s="436"/>
      <c r="J9" s="419"/>
    </row>
    <row r="10" spans="2:10" ht="16.5" thickBot="1" x14ac:dyDescent="0.3">
      <c r="B10" s="448"/>
      <c r="C10" s="449"/>
      <c r="D10" s="449"/>
      <c r="E10" s="450"/>
      <c r="F10" s="450"/>
      <c r="G10" s="450"/>
      <c r="H10" s="450"/>
      <c r="I10" s="451"/>
      <c r="J10" s="419"/>
    </row>
    <row r="11" spans="2:10" ht="16.5" thickTop="1" x14ac:dyDescent="0.25">
      <c r="B11" s="419"/>
      <c r="C11" s="419"/>
      <c r="D11" s="419"/>
      <c r="E11" s="419"/>
      <c r="F11" s="419"/>
      <c r="G11" s="419"/>
      <c r="H11" s="419"/>
      <c r="I11" s="419"/>
      <c r="J11" s="419"/>
    </row>
    <row r="12" spans="2:10" ht="15.75" x14ac:dyDescent="0.25">
      <c r="B12" s="419"/>
      <c r="C12" s="419"/>
      <c r="D12" s="419"/>
      <c r="E12" s="419"/>
      <c r="F12" s="419"/>
      <c r="G12" s="419"/>
      <c r="H12" s="419"/>
      <c r="I12" s="419"/>
      <c r="J12" s="419"/>
    </row>
    <row r="13" spans="2:10" ht="18.75" x14ac:dyDescent="0.3">
      <c r="B13" s="452" t="s">
        <v>93</v>
      </c>
      <c r="C13" s="420"/>
      <c r="D13" s="420"/>
      <c r="E13" s="421"/>
      <c r="F13" s="419"/>
      <c r="G13" s="419"/>
      <c r="H13" s="419"/>
      <c r="I13" s="419"/>
      <c r="J13" s="419"/>
    </row>
    <row r="14" spans="2:10" ht="19.5" thickBot="1" x14ac:dyDescent="0.35">
      <c r="B14" s="452"/>
      <c r="C14" s="420"/>
      <c r="D14" s="420"/>
      <c r="E14" s="421"/>
      <c r="F14" s="419"/>
      <c r="G14" s="419"/>
      <c r="H14" s="419"/>
      <c r="I14" s="419"/>
      <c r="J14" s="419"/>
    </row>
    <row r="15" spans="2:10" ht="20.25" thickBot="1" x14ac:dyDescent="0.3">
      <c r="B15" s="700" t="s">
        <v>223</v>
      </c>
      <c r="C15" s="701"/>
      <c r="D15" s="701"/>
      <c r="E15" s="702"/>
      <c r="F15" s="453"/>
      <c r="G15" s="700" t="s">
        <v>224</v>
      </c>
      <c r="H15" s="701"/>
      <c r="I15" s="701"/>
      <c r="J15" s="702"/>
    </row>
    <row r="16" spans="2:10" ht="16.5" thickBot="1" x14ac:dyDescent="0.3">
      <c r="B16" s="708" t="s">
        <v>155</v>
      </c>
      <c r="C16" s="709"/>
      <c r="D16" s="710"/>
      <c r="E16" s="434" t="s">
        <v>218</v>
      </c>
      <c r="F16" s="453"/>
      <c r="G16" s="708" t="s">
        <v>155</v>
      </c>
      <c r="H16" s="709"/>
      <c r="I16" s="710"/>
      <c r="J16" s="434" t="s">
        <v>218</v>
      </c>
    </row>
    <row r="17" spans="2:10" ht="15.75" x14ac:dyDescent="0.25">
      <c r="B17" s="711" t="s">
        <v>225</v>
      </c>
      <c r="C17" s="712"/>
      <c r="D17" s="713"/>
      <c r="E17" s="454">
        <v>4.24E-2</v>
      </c>
      <c r="F17" s="453"/>
      <c r="G17" s="714" t="s">
        <v>226</v>
      </c>
      <c r="H17" s="715"/>
      <c r="I17" s="716"/>
      <c r="J17" s="441">
        <f>E17+0.49%</f>
        <v>4.7300000000000002E-2</v>
      </c>
    </row>
    <row r="18" spans="2:10" ht="16.5" thickBot="1" x14ac:dyDescent="0.3">
      <c r="B18" s="717" t="s">
        <v>227</v>
      </c>
      <c r="C18" s="718"/>
      <c r="D18" s="719"/>
      <c r="E18" s="515">
        <f>J36</f>
        <v>1.0066817101387078</v>
      </c>
      <c r="F18" s="453"/>
      <c r="G18" s="720" t="s">
        <v>228</v>
      </c>
      <c r="H18" s="721"/>
      <c r="I18" s="722"/>
      <c r="J18" s="446">
        <v>0.27</v>
      </c>
    </row>
    <row r="19" spans="2:10" ht="16.5" thickBot="1" x14ac:dyDescent="0.3">
      <c r="B19" s="723" t="s">
        <v>229</v>
      </c>
      <c r="C19" s="724"/>
      <c r="D19" s="725"/>
      <c r="E19" s="446">
        <v>4.5999999999999999E-2</v>
      </c>
      <c r="F19" s="453"/>
      <c r="G19" s="726" t="s">
        <v>230</v>
      </c>
      <c r="H19" s="727"/>
      <c r="I19" s="728"/>
      <c r="J19" s="455">
        <f>(1-J18)*J17</f>
        <v>3.4528999999999997E-2</v>
      </c>
    </row>
    <row r="20" spans="2:10" ht="16.5" thickBot="1" x14ac:dyDescent="0.3">
      <c r="B20" s="729" t="s">
        <v>231</v>
      </c>
      <c r="C20" s="730"/>
      <c r="D20" s="731"/>
      <c r="E20" s="455">
        <f>E17+E18*E19</f>
        <v>8.8707358666380548E-2</v>
      </c>
      <c r="F20" s="453"/>
      <c r="G20" s="453"/>
      <c r="H20" s="456"/>
      <c r="I20" s="419"/>
      <c r="J20" s="457"/>
    </row>
    <row r="21" spans="2:10" ht="15.75" x14ac:dyDescent="0.25">
      <c r="B21" s="456"/>
      <c r="C21" s="458"/>
      <c r="D21" s="458"/>
      <c r="E21" s="459"/>
      <c r="F21" s="453"/>
      <c r="G21" s="453"/>
      <c r="H21" s="419"/>
      <c r="I21" s="419"/>
      <c r="J21" s="419"/>
    </row>
    <row r="22" spans="2:10" ht="15.75" x14ac:dyDescent="0.25">
      <c r="B22" s="456"/>
      <c r="C22" s="458"/>
      <c r="D22" s="458"/>
      <c r="E22" s="459"/>
      <c r="F22" s="453"/>
      <c r="G22" s="453"/>
      <c r="H22" s="419"/>
      <c r="I22" s="419"/>
      <c r="J22" s="419"/>
    </row>
    <row r="23" spans="2:10" ht="16.5" thickBot="1" x14ac:dyDescent="0.3">
      <c r="B23" s="456"/>
      <c r="C23" s="460"/>
      <c r="D23" s="460"/>
      <c r="E23" s="457"/>
      <c r="F23" s="453"/>
      <c r="G23" s="453"/>
      <c r="H23" s="419"/>
      <c r="I23" s="419"/>
      <c r="J23" s="419"/>
    </row>
    <row r="24" spans="2:10" ht="20.25" thickBot="1" x14ac:dyDescent="0.3">
      <c r="B24" s="732" t="s">
        <v>232</v>
      </c>
      <c r="C24" s="733"/>
      <c r="D24" s="733"/>
      <c r="E24" s="733"/>
      <c r="F24" s="733"/>
      <c r="G24" s="733"/>
      <c r="H24" s="733"/>
      <c r="I24" s="734"/>
      <c r="J24" s="419"/>
    </row>
    <row r="25" spans="2:10" ht="48" thickBot="1" x14ac:dyDescent="0.3">
      <c r="B25" s="735" t="s">
        <v>155</v>
      </c>
      <c r="C25" s="736"/>
      <c r="D25" s="461" t="s">
        <v>233</v>
      </c>
      <c r="E25" s="461" t="s">
        <v>234</v>
      </c>
      <c r="F25" s="461" t="s">
        <v>235</v>
      </c>
      <c r="G25" s="461" t="s">
        <v>236</v>
      </c>
      <c r="H25" s="461" t="s">
        <v>237</v>
      </c>
      <c r="I25" s="433" t="s">
        <v>238</v>
      </c>
      <c r="J25" s="419"/>
    </row>
    <row r="26" spans="2:10" ht="17.25" x14ac:dyDescent="0.25">
      <c r="B26" s="462" t="s">
        <v>239</v>
      </c>
      <c r="C26" s="463"/>
      <c r="D26" s="463"/>
      <c r="E26" s="463"/>
      <c r="F26" s="463"/>
      <c r="G26" s="463"/>
      <c r="H26" s="463"/>
      <c r="I26" s="464"/>
      <c r="J26" s="419"/>
    </row>
    <row r="27" spans="2:10" ht="15.75" customHeight="1" x14ac:dyDescent="0.25">
      <c r="B27" s="706" t="s">
        <v>240</v>
      </c>
      <c r="C27" s="707"/>
      <c r="D27" s="516">
        <f>BETA!C6</f>
        <v>1.0468894183881392</v>
      </c>
      <c r="E27" s="517">
        <f>AVERAGE(C46:C48)/(AVERAGE(C46:C48)+AVERAGE(F46:F48))</f>
        <v>0.12454163168132118</v>
      </c>
      <c r="F27" s="517">
        <f>AVERAGE(F46:F48)/(AVERAGE(C46:C48)+AVERAGE(F46:F48))</f>
        <v>0.87545836831867874</v>
      </c>
      <c r="G27" s="518">
        <f>E27/F27</f>
        <v>0.14225877116293248</v>
      </c>
      <c r="H27" s="519">
        <v>0.27</v>
      </c>
      <c r="I27" s="520">
        <f>D27/(1+(1-H27)*E27/F27)</f>
        <v>0.94839920173074976</v>
      </c>
      <c r="J27" s="419"/>
    </row>
    <row r="28" spans="2:10" ht="15.75" x14ac:dyDescent="0.25">
      <c r="B28" s="742" t="s">
        <v>241</v>
      </c>
      <c r="C28" s="743"/>
      <c r="D28" s="516">
        <f>BETA!C7</f>
        <v>1.1482571917885187</v>
      </c>
      <c r="E28" s="517">
        <f>AVERAGE(C51:C53)/(AVERAGE(C51:C53)+AVERAGE(F51:F53))</f>
        <v>8.770518951582712E-2</v>
      </c>
      <c r="F28" s="467">
        <f>AVERAGE(F51:F53)/(AVERAGE(C51:C53)+AVERAGE(F51:F53))</f>
        <v>0.91229481048417294</v>
      </c>
      <c r="G28" s="518">
        <f t="shared" ref="G28:G32" si="0">E28/F28</f>
        <v>9.6136894025825093E-2</v>
      </c>
      <c r="H28" s="519">
        <v>0.27</v>
      </c>
      <c r="I28" s="520">
        <f t="shared" ref="I28:I32" si="1">D28/(1+(1-H28)*E28/F28)</f>
        <v>1.0729571325049454</v>
      </c>
      <c r="J28" s="419"/>
    </row>
    <row r="29" spans="2:10" ht="15.75" x14ac:dyDescent="0.25">
      <c r="B29" s="744" t="s">
        <v>164</v>
      </c>
      <c r="C29" s="745"/>
      <c r="D29" s="516">
        <f>BETA!C8</f>
        <v>0.98031017043028879</v>
      </c>
      <c r="E29" s="466">
        <f>AVERAGE(C56:C58)/(AVERAGE(C56:C58)+AVERAGE(F56:F58))</f>
        <v>0.40591002392146469</v>
      </c>
      <c r="F29" s="467">
        <f>AVERAGE(F56:F58)/(AVERAGE(C56:C58)+AVERAGE(F56:F58))</f>
        <v>0.59408997607853531</v>
      </c>
      <c r="G29" s="518">
        <f t="shared" si="0"/>
        <v>0.68324671390820724</v>
      </c>
      <c r="H29" s="519">
        <v>0.27</v>
      </c>
      <c r="I29" s="520">
        <f t="shared" si="1"/>
        <v>0.65407641217031509</v>
      </c>
      <c r="J29" s="419"/>
    </row>
    <row r="30" spans="2:10" ht="15.75" x14ac:dyDescent="0.25">
      <c r="B30" s="744" t="s">
        <v>242</v>
      </c>
      <c r="C30" s="745"/>
      <c r="D30" s="342">
        <f>BETA!C9</f>
        <v>1.0849100377421987</v>
      </c>
      <c r="E30" s="466">
        <f>AVERAGE(C61:C63)/(AVERAGE(C61:C63)+AVERAGE(F61:F63))</f>
        <v>9.4148912155691572E-2</v>
      </c>
      <c r="F30" s="467">
        <f>AVERAGE(F61:F63)/(AVERAGE(C61:C63)+AVERAGE(F61:F63))</f>
        <v>0.90585108784430834</v>
      </c>
      <c r="G30" s="518">
        <f t="shared" si="0"/>
        <v>0.10393420443943129</v>
      </c>
      <c r="H30" s="519">
        <v>0.27</v>
      </c>
      <c r="I30" s="520">
        <f t="shared" si="1"/>
        <v>1.0084006914947248</v>
      </c>
      <c r="J30" s="419"/>
    </row>
    <row r="31" spans="2:10" ht="15.75" x14ac:dyDescent="0.25">
      <c r="B31" s="744" t="s">
        <v>243</v>
      </c>
      <c r="C31" s="745"/>
      <c r="D31" s="465">
        <f>BETA!C8</f>
        <v>0.98031017043028879</v>
      </c>
      <c r="E31" s="466">
        <f>AVERAGE(C66:C68)/(AVERAGE(C66:C68)+AVERAGE(F66:F68))</f>
        <v>7.898360951550755E-2</v>
      </c>
      <c r="F31" s="467">
        <f>AVERAGE(F66:F68)/(AVERAGE(C66:C68)+AVERAGE(F66:F68))</f>
        <v>0.92101639048449235</v>
      </c>
      <c r="G31" s="518">
        <f t="shared" si="0"/>
        <v>8.5757007509886921E-2</v>
      </c>
      <c r="H31" s="519">
        <v>0.27</v>
      </c>
      <c r="I31" s="520">
        <f>D31/(1+(1-H31)*E31/F31)</f>
        <v>0.92255576651805649</v>
      </c>
      <c r="J31" s="419"/>
    </row>
    <row r="32" spans="2:10" ht="16.5" thickBot="1" x14ac:dyDescent="0.3">
      <c r="B32" s="744" t="s">
        <v>170</v>
      </c>
      <c r="C32" s="745"/>
      <c r="D32" s="465">
        <f>BETA!C11</f>
        <v>1.0364287863113066</v>
      </c>
      <c r="E32" s="466">
        <f>AVERAGE(C71:C73)/(AVERAGE(C71:C73)+AVERAGE(F71:F73))</f>
        <v>0.16968631996092323</v>
      </c>
      <c r="F32" s="467">
        <f>AVERAGE(F71:F73)/(AVERAGE(C71:C73)+AVERAGE(F71:F73))</f>
        <v>0.8303136800390768</v>
      </c>
      <c r="G32" s="518">
        <f t="shared" si="0"/>
        <v>0.2043641144789248</v>
      </c>
      <c r="H32" s="519">
        <v>0.27</v>
      </c>
      <c r="I32" s="520">
        <f t="shared" si="1"/>
        <v>0.90188095179381667</v>
      </c>
      <c r="J32" s="419"/>
    </row>
    <row r="33" spans="2:10" ht="16.5" thickBot="1" x14ac:dyDescent="0.3">
      <c r="B33" s="746" t="s">
        <v>244</v>
      </c>
      <c r="C33" s="747"/>
      <c r="D33" s="468">
        <f>AVERAGE(D28:D32)</f>
        <v>1.0460432713405203</v>
      </c>
      <c r="E33" s="468">
        <f t="shared" ref="E33:I33" si="2">AVERAGE(E28:E32)</f>
        <v>0.16728681101388282</v>
      </c>
      <c r="F33" s="468">
        <f t="shared" si="2"/>
        <v>0.83271318898611713</v>
      </c>
      <c r="G33" s="468">
        <f t="shared" si="2"/>
        <v>0.23468778687245506</v>
      </c>
      <c r="H33" s="468">
        <f t="shared" si="2"/>
        <v>0.27</v>
      </c>
      <c r="I33" s="468">
        <f t="shared" si="2"/>
        <v>0.91197419089637177</v>
      </c>
      <c r="J33" s="419"/>
    </row>
    <row r="34" spans="2:10" ht="16.5" thickBot="1" x14ac:dyDescent="0.3">
      <c r="B34" s="469"/>
      <c r="C34" s="419"/>
      <c r="D34" s="419"/>
      <c r="E34" s="419"/>
      <c r="F34" s="419"/>
      <c r="G34" s="419"/>
      <c r="H34" s="419"/>
      <c r="I34" s="470"/>
      <c r="J34" s="470"/>
    </row>
    <row r="35" spans="2:10" ht="20.25" thickBot="1" x14ac:dyDescent="0.3">
      <c r="B35" s="748" t="s">
        <v>245</v>
      </c>
      <c r="C35" s="749"/>
      <c r="D35" s="471" t="s">
        <v>246</v>
      </c>
      <c r="E35" s="419"/>
      <c r="F35" s="748" t="s">
        <v>247</v>
      </c>
      <c r="G35" s="750"/>
      <c r="H35" s="750"/>
      <c r="I35" s="749"/>
      <c r="J35" s="471" t="s">
        <v>246</v>
      </c>
    </row>
    <row r="36" spans="2:10" ht="15.75" x14ac:dyDescent="0.25">
      <c r="B36" s="751" t="s">
        <v>248</v>
      </c>
      <c r="C36" s="752"/>
      <c r="D36" s="472">
        <f>I33</f>
        <v>0.91197419089637177</v>
      </c>
      <c r="E36" s="473"/>
      <c r="F36" s="753" t="s">
        <v>249</v>
      </c>
      <c r="G36" s="754"/>
      <c r="H36" s="754"/>
      <c r="I36" s="755"/>
      <c r="J36" s="474">
        <f>D36*(1+(1-H27)*G27)</f>
        <v>1.0066817101387078</v>
      </c>
    </row>
    <row r="37" spans="2:10" ht="16.5" thickBot="1" x14ac:dyDescent="0.3">
      <c r="B37" s="737" t="s">
        <v>250</v>
      </c>
      <c r="C37" s="738"/>
      <c r="D37" s="475">
        <f>D33/(1+(1-H33)*E33/F33)</f>
        <v>0.91225840409048076</v>
      </c>
      <c r="E37" s="473"/>
      <c r="F37" s="739" t="s">
        <v>251</v>
      </c>
      <c r="G37" s="740"/>
      <c r="H37" s="740"/>
      <c r="I37" s="741"/>
      <c r="J37" s="474">
        <f>D37*(1+(1-H28)*G28)</f>
        <v>0.97628063743877769</v>
      </c>
    </row>
    <row r="38" spans="2:10" ht="16.5" thickBot="1" x14ac:dyDescent="0.3">
      <c r="B38" s="419"/>
      <c r="C38" s="476"/>
      <c r="D38" s="476"/>
      <c r="E38" s="473"/>
      <c r="F38" s="756" t="s">
        <v>252</v>
      </c>
      <c r="G38" s="757"/>
      <c r="H38" s="757"/>
      <c r="I38" s="758"/>
      <c r="J38" s="477">
        <f>BETA!C6</f>
        <v>1.0468894183881392</v>
      </c>
    </row>
    <row r="39" spans="2:10" ht="15.75" x14ac:dyDescent="0.25">
      <c r="B39" s="419"/>
      <c r="C39" s="476"/>
      <c r="D39" s="476"/>
      <c r="E39" s="473"/>
      <c r="F39" s="478"/>
      <c r="G39" s="478"/>
      <c r="H39" s="478"/>
      <c r="I39" s="478"/>
      <c r="J39" s="479"/>
    </row>
    <row r="40" spans="2:10" ht="16.5" thickBot="1" x14ac:dyDescent="0.3">
      <c r="B40" s="419"/>
      <c r="C40" s="419"/>
      <c r="D40" s="419"/>
      <c r="E40" s="419"/>
      <c r="F40" s="419"/>
      <c r="G40" s="419"/>
      <c r="H40" s="419"/>
      <c r="I40" s="419"/>
      <c r="J40" s="419"/>
    </row>
    <row r="41" spans="2:10" ht="20.25" thickBot="1" x14ac:dyDescent="0.3">
      <c r="B41" s="748" t="s">
        <v>253</v>
      </c>
      <c r="C41" s="750"/>
      <c r="D41" s="750"/>
      <c r="E41" s="750"/>
      <c r="F41" s="750"/>
      <c r="G41" s="759"/>
      <c r="H41" s="420"/>
      <c r="I41" s="480"/>
      <c r="J41" s="419"/>
    </row>
    <row r="42" spans="2:10" ht="16.5" thickBot="1" x14ac:dyDescent="0.3">
      <c r="B42" s="760" t="s">
        <v>254</v>
      </c>
      <c r="C42" s="760" t="s">
        <v>255</v>
      </c>
      <c r="D42" s="708" t="s">
        <v>256</v>
      </c>
      <c r="E42" s="709"/>
      <c r="F42" s="709"/>
      <c r="G42" s="762"/>
      <c r="H42" s="420"/>
      <c r="I42" s="420"/>
      <c r="J42" s="419"/>
    </row>
    <row r="43" spans="2:10" ht="32.25" thickBot="1" x14ac:dyDescent="0.3">
      <c r="B43" s="761"/>
      <c r="C43" s="761"/>
      <c r="D43" s="481" t="s">
        <v>257</v>
      </c>
      <c r="E43" s="482" t="s">
        <v>258</v>
      </c>
      <c r="F43" s="482" t="s">
        <v>259</v>
      </c>
      <c r="G43" s="483" t="s">
        <v>179</v>
      </c>
      <c r="H43" s="420"/>
      <c r="I43" s="420"/>
      <c r="J43" s="419"/>
    </row>
    <row r="44" spans="2:10" ht="15.75" x14ac:dyDescent="0.25">
      <c r="B44" s="484"/>
      <c r="C44" s="484"/>
      <c r="D44" s="485"/>
      <c r="E44" s="486"/>
      <c r="F44" s="486"/>
      <c r="G44" s="487"/>
      <c r="H44" s="420"/>
      <c r="I44" s="420"/>
      <c r="J44" s="419"/>
    </row>
    <row r="45" spans="2:10" ht="15.75" x14ac:dyDescent="0.25">
      <c r="B45" s="488" t="s">
        <v>260</v>
      </c>
      <c r="C45" s="489"/>
      <c r="D45" s="490"/>
      <c r="E45" s="491"/>
      <c r="F45" s="491"/>
      <c r="G45" s="492"/>
      <c r="H45" s="420"/>
      <c r="I45" s="420"/>
      <c r="J45" s="419"/>
    </row>
    <row r="46" spans="2:10" ht="15.75" x14ac:dyDescent="0.25">
      <c r="B46" s="493">
        <v>45657</v>
      </c>
      <c r="C46" s="494">
        <v>125172</v>
      </c>
      <c r="D46" s="495">
        <v>192.45</v>
      </c>
      <c r="E46" s="522">
        <v>5855</v>
      </c>
      <c r="F46" s="497">
        <f>E46*D46</f>
        <v>1126794.75</v>
      </c>
      <c r="G46" s="498">
        <v>0.27</v>
      </c>
      <c r="H46" s="420"/>
      <c r="I46" s="420"/>
      <c r="J46" s="419"/>
    </row>
    <row r="47" spans="2:10" ht="15.75" x14ac:dyDescent="0.25">
      <c r="B47" s="493">
        <v>45291</v>
      </c>
      <c r="C47" s="494">
        <v>119013</v>
      </c>
      <c r="D47" s="495">
        <v>140.68</v>
      </c>
      <c r="E47" s="522">
        <v>5922</v>
      </c>
      <c r="F47" s="497">
        <f t="shared" ref="F47" si="3">E47*D47</f>
        <v>833106.96000000008</v>
      </c>
      <c r="G47" s="498">
        <v>0.27</v>
      </c>
      <c r="H47" s="420"/>
      <c r="I47" s="420"/>
      <c r="J47" s="419"/>
    </row>
    <row r="48" spans="2:10" ht="15.75" x14ac:dyDescent="0.25">
      <c r="B48" s="493">
        <v>44926</v>
      </c>
      <c r="C48" s="494">
        <v>109120</v>
      </c>
      <c r="D48" s="495">
        <v>87.36</v>
      </c>
      <c r="E48" s="522">
        <v>5994</v>
      </c>
      <c r="F48" s="497">
        <f>E48*D48</f>
        <v>523635.84</v>
      </c>
      <c r="G48" s="498">
        <v>0.27</v>
      </c>
      <c r="H48" s="420"/>
      <c r="I48" s="420"/>
      <c r="J48" s="419"/>
    </row>
    <row r="49" spans="2:10" ht="15.75" x14ac:dyDescent="0.25">
      <c r="B49" s="489"/>
      <c r="C49" s="499"/>
      <c r="D49" s="495"/>
      <c r="E49" s="522"/>
      <c r="F49" s="496"/>
      <c r="G49" s="500"/>
      <c r="H49" s="420"/>
      <c r="I49" s="420"/>
      <c r="J49" s="419"/>
    </row>
    <row r="50" spans="2:10" ht="15.75" x14ac:dyDescent="0.25">
      <c r="B50" s="501" t="s">
        <v>241</v>
      </c>
      <c r="C50" s="499"/>
      <c r="D50" s="495"/>
      <c r="E50" s="522"/>
      <c r="F50" s="496"/>
      <c r="G50" s="500"/>
      <c r="H50" s="420"/>
      <c r="I50" s="420"/>
      <c r="J50" s="419"/>
    </row>
    <row r="51" spans="2:10" ht="15.75" x14ac:dyDescent="0.25">
      <c r="B51" s="493">
        <v>45657</v>
      </c>
      <c r="C51" s="494">
        <v>93417</v>
      </c>
      <c r="D51" s="502">
        <v>592.27</v>
      </c>
      <c r="E51" s="503">
        <v>2211</v>
      </c>
      <c r="F51" s="497">
        <f>E51*D51</f>
        <v>1309508.97</v>
      </c>
      <c r="G51" s="498">
        <v>0.27</v>
      </c>
      <c r="H51" s="420"/>
      <c r="I51" s="420"/>
      <c r="J51" s="419"/>
    </row>
    <row r="52" spans="2:10" ht="15.75" x14ac:dyDescent="0.25">
      <c r="B52" s="493">
        <v>45291</v>
      </c>
      <c r="C52" s="494">
        <v>76455</v>
      </c>
      <c r="D52" s="502">
        <v>358.99</v>
      </c>
      <c r="E52" s="503">
        <v>2247</v>
      </c>
      <c r="F52" s="497">
        <f t="shared" ref="F52:F53" si="4">E52*D52</f>
        <v>806650.53</v>
      </c>
      <c r="G52" s="498">
        <v>0.27</v>
      </c>
      <c r="H52" s="420"/>
      <c r="I52" s="420"/>
      <c r="J52" s="419"/>
    </row>
    <row r="53" spans="2:10" ht="15.75" x14ac:dyDescent="0.25">
      <c r="B53" s="493">
        <v>44926</v>
      </c>
      <c r="C53" s="494">
        <v>60014</v>
      </c>
      <c r="D53" s="502">
        <v>118.16</v>
      </c>
      <c r="E53" s="503">
        <v>2328</v>
      </c>
      <c r="F53" s="497">
        <f t="shared" si="4"/>
        <v>275076.47999999998</v>
      </c>
      <c r="G53" s="498">
        <v>0.27</v>
      </c>
      <c r="H53" s="420"/>
      <c r="I53" s="420"/>
      <c r="J53" s="419"/>
    </row>
    <row r="54" spans="2:10" ht="15.75" x14ac:dyDescent="0.25">
      <c r="B54" s="504"/>
      <c r="C54" s="505"/>
      <c r="D54" s="506"/>
      <c r="E54" s="503"/>
      <c r="F54" s="497"/>
      <c r="G54" s="507"/>
      <c r="H54" s="420"/>
      <c r="I54" s="420"/>
      <c r="J54" s="419"/>
    </row>
    <row r="55" spans="2:10" ht="15.75" x14ac:dyDescent="0.25">
      <c r="B55" s="508" t="s">
        <v>164</v>
      </c>
      <c r="C55" s="505"/>
      <c r="D55" s="506"/>
      <c r="E55" s="503"/>
      <c r="F55" s="497"/>
      <c r="G55" s="507"/>
      <c r="H55" s="420"/>
      <c r="I55" s="420"/>
      <c r="J55" s="419"/>
    </row>
    <row r="56" spans="2:10" ht="15.75" x14ac:dyDescent="0.25">
      <c r="B56" s="493">
        <v>45657</v>
      </c>
      <c r="C56" s="494">
        <v>109783</v>
      </c>
      <c r="D56" s="502">
        <v>220.72</v>
      </c>
      <c r="E56" s="523">
        <f>921767834/10^6</f>
        <v>921.76783399999999</v>
      </c>
      <c r="F56" s="497">
        <f>E56*D56</f>
        <v>203452.59632047999</v>
      </c>
      <c r="G56" s="498">
        <v>0.27</v>
      </c>
      <c r="H56" s="420"/>
      <c r="I56" s="420"/>
      <c r="J56" s="419"/>
    </row>
    <row r="57" spans="2:10" ht="15.75" x14ac:dyDescent="0.25">
      <c r="B57" s="493">
        <v>45291</v>
      </c>
      <c r="C57" s="494">
        <v>112628</v>
      </c>
      <c r="D57">
        <v>163.75</v>
      </c>
      <c r="E57" s="533">
        <f>911210319/10^6</f>
        <v>911.21031900000003</v>
      </c>
      <c r="F57" s="497">
        <f t="shared" ref="F57:F58" si="5">E57*D57</f>
        <v>149210.68973625</v>
      </c>
      <c r="G57" s="498">
        <v>0.27</v>
      </c>
      <c r="H57" s="420"/>
      <c r="I57" s="420"/>
      <c r="J57" s="419"/>
    </row>
    <row r="58" spans="2:10" ht="15.75" x14ac:dyDescent="0.25">
      <c r="B58" s="493">
        <v>44926</v>
      </c>
      <c r="C58" s="494">
        <v>105222</v>
      </c>
      <c r="D58" s="502">
        <v>140.54</v>
      </c>
      <c r="E58" s="523">
        <f>902664190/10^6</f>
        <v>902.66418999999996</v>
      </c>
      <c r="F58" s="497">
        <f t="shared" si="5"/>
        <v>126860.42526259999</v>
      </c>
      <c r="G58" s="498">
        <v>0.27</v>
      </c>
      <c r="H58" s="420"/>
      <c r="I58" s="420"/>
      <c r="J58" s="419"/>
    </row>
    <row r="59" spans="2:10" ht="15.75" x14ac:dyDescent="0.25">
      <c r="B59" s="509"/>
      <c r="C59" s="505"/>
      <c r="D59" s="506"/>
      <c r="E59" s="503"/>
      <c r="F59" s="497"/>
      <c r="G59" s="507"/>
      <c r="H59" s="420"/>
      <c r="I59" s="420"/>
      <c r="J59" s="419"/>
    </row>
    <row r="60" spans="2:10" ht="15.75" x14ac:dyDescent="0.25">
      <c r="B60" s="508" t="s">
        <v>242</v>
      </c>
      <c r="C60" s="505"/>
      <c r="D60" s="506"/>
      <c r="E60" s="503"/>
      <c r="F60" s="497"/>
      <c r="G60" s="507"/>
      <c r="H60" s="420"/>
      <c r="I60" s="420"/>
      <c r="J60" s="419"/>
    </row>
    <row r="61" spans="2:10" ht="15.75" x14ac:dyDescent="0.25">
      <c r="B61" s="493">
        <v>45563</v>
      </c>
      <c r="C61" s="494">
        <v>308030</v>
      </c>
      <c r="D61" s="502">
        <v>230.04</v>
      </c>
      <c r="E61" s="510">
        <f>15343783000/10^6</f>
        <v>15343.782999999999</v>
      </c>
      <c r="F61" s="497">
        <f>E61*D61</f>
        <v>3529683.8413199997</v>
      </c>
      <c r="G61" s="498">
        <v>0.27</v>
      </c>
      <c r="H61" s="420"/>
      <c r="I61" s="420"/>
      <c r="J61" s="419"/>
    </row>
    <row r="62" spans="2:10" ht="15.75" x14ac:dyDescent="0.25">
      <c r="B62" s="493">
        <v>45199</v>
      </c>
      <c r="C62" s="494">
        <v>290437</v>
      </c>
      <c r="D62" s="502">
        <v>171.21</v>
      </c>
      <c r="E62" s="510">
        <f>15744231000/10^6</f>
        <v>15744.231</v>
      </c>
      <c r="F62" s="497">
        <f t="shared" ref="F62:F63" si="6">E62*D62</f>
        <v>2695569.78951</v>
      </c>
      <c r="G62" s="498">
        <v>0.27</v>
      </c>
      <c r="H62" s="420"/>
      <c r="I62" s="420"/>
      <c r="J62" s="419"/>
    </row>
    <row r="63" spans="2:10" ht="15.75" x14ac:dyDescent="0.25">
      <c r="B63" s="493">
        <v>44828</v>
      </c>
      <c r="C63" s="494">
        <v>302083</v>
      </c>
      <c r="D63" s="502">
        <v>150.43</v>
      </c>
      <c r="E63" s="510">
        <f>16215932000/10^6</f>
        <v>16215.932000000001</v>
      </c>
      <c r="F63" s="497">
        <f t="shared" si="6"/>
        <v>2439362.6507600001</v>
      </c>
      <c r="G63" s="498">
        <v>0.27</v>
      </c>
      <c r="H63" s="420"/>
      <c r="I63" s="420"/>
      <c r="J63" s="419"/>
    </row>
    <row r="64" spans="2:10" ht="15.75" x14ac:dyDescent="0.25">
      <c r="B64" s="509"/>
      <c r="C64" s="505"/>
      <c r="D64" s="506"/>
      <c r="E64" s="503"/>
      <c r="F64" s="497"/>
      <c r="G64" s="507"/>
      <c r="H64" s="420"/>
      <c r="I64" s="420"/>
      <c r="J64" s="419"/>
    </row>
    <row r="65" spans="2:10" ht="15.75" x14ac:dyDescent="0.25">
      <c r="B65" s="511" t="s">
        <v>243</v>
      </c>
      <c r="C65" s="499"/>
      <c r="D65" s="506"/>
      <c r="E65" s="503"/>
      <c r="F65" s="497"/>
      <c r="G65" s="507"/>
      <c r="H65" s="420"/>
      <c r="I65" s="420"/>
      <c r="J65" s="419"/>
    </row>
    <row r="66" spans="2:10" ht="15.75" x14ac:dyDescent="0.25">
      <c r="B66" s="493">
        <v>45473</v>
      </c>
      <c r="C66" s="494">
        <v>243686</v>
      </c>
      <c r="D66" s="502">
        <v>414.67</v>
      </c>
      <c r="E66" s="503">
        <v>7341</v>
      </c>
      <c r="F66" s="497">
        <f>E66*D66</f>
        <v>3044092.47</v>
      </c>
      <c r="G66" s="498">
        <v>0.27</v>
      </c>
      <c r="H66" s="420"/>
      <c r="I66" s="420"/>
      <c r="J66" s="419"/>
    </row>
    <row r="67" spans="2:10" ht="15.75" x14ac:dyDescent="0.25">
      <c r="B67" s="493">
        <v>45107</v>
      </c>
      <c r="C67" s="494">
        <v>205753</v>
      </c>
      <c r="D67" s="502">
        <v>331.21</v>
      </c>
      <c r="E67" s="503">
        <v>7446</v>
      </c>
      <c r="F67" s="497">
        <f t="shared" ref="F67:F68" si="7">E67*D67</f>
        <v>2466189.6599999997</v>
      </c>
      <c r="G67" s="498">
        <v>0.27</v>
      </c>
      <c r="H67" s="420"/>
      <c r="I67" s="420"/>
      <c r="J67" s="419"/>
    </row>
    <row r="68" spans="2:10" ht="15.75" x14ac:dyDescent="0.25">
      <c r="B68" s="493">
        <v>44742</v>
      </c>
      <c r="C68" s="512">
        <v>198298</v>
      </c>
      <c r="D68" s="502">
        <v>272.52999999999997</v>
      </c>
      <c r="E68" s="503">
        <v>7496</v>
      </c>
      <c r="F68" s="497">
        <f t="shared" si="7"/>
        <v>2042884.88</v>
      </c>
      <c r="G68" s="498">
        <v>0.27</v>
      </c>
      <c r="H68" s="420"/>
      <c r="I68" s="420"/>
      <c r="J68" s="419"/>
    </row>
    <row r="69" spans="2:10" ht="15.75" x14ac:dyDescent="0.25">
      <c r="B69" s="509"/>
      <c r="C69" s="505"/>
      <c r="D69" s="506"/>
      <c r="E69" s="503"/>
      <c r="F69" s="497"/>
      <c r="G69" s="507"/>
      <c r="H69" s="420"/>
      <c r="I69" s="420"/>
      <c r="J69" s="419"/>
    </row>
    <row r="70" spans="2:10" ht="15.75" x14ac:dyDescent="0.25">
      <c r="B70" s="511" t="s">
        <v>170</v>
      </c>
      <c r="C70" s="505"/>
      <c r="D70" s="506"/>
      <c r="E70" s="503"/>
      <c r="F70" s="497"/>
      <c r="G70" s="507"/>
      <c r="H70" s="420"/>
      <c r="I70" s="420"/>
      <c r="J70" s="419"/>
    </row>
    <row r="71" spans="2:10" ht="15.75" x14ac:dyDescent="0.25">
      <c r="B71" s="493">
        <v>45657</v>
      </c>
      <c r="C71" s="513">
        <v>338924</v>
      </c>
      <c r="D71" s="502">
        <v>222.97</v>
      </c>
      <c r="E71" s="524">
        <v>10593</v>
      </c>
      <c r="F71" s="497">
        <f>E71*D71</f>
        <v>2361921.21</v>
      </c>
      <c r="G71" s="498">
        <v>0.27</v>
      </c>
      <c r="H71" s="420"/>
      <c r="I71" s="420"/>
      <c r="J71" s="419"/>
    </row>
    <row r="72" spans="2:10" ht="15.75" x14ac:dyDescent="0.25">
      <c r="B72" s="493">
        <v>45291</v>
      </c>
      <c r="C72" s="513">
        <v>325979</v>
      </c>
      <c r="D72" s="502">
        <v>153.1</v>
      </c>
      <c r="E72" s="524">
        <v>10383</v>
      </c>
      <c r="F72" s="497">
        <f t="shared" ref="F72:F73" si="8">E72*D72</f>
        <v>1589637.3</v>
      </c>
      <c r="G72" s="498">
        <v>0.27</v>
      </c>
      <c r="H72" s="420"/>
      <c r="I72" s="420"/>
      <c r="J72" s="419"/>
    </row>
    <row r="73" spans="2:10" ht="15.75" x14ac:dyDescent="0.25">
      <c r="B73" s="493">
        <v>44926</v>
      </c>
      <c r="C73" s="513">
        <v>316632</v>
      </c>
      <c r="D73" s="502">
        <v>83.12</v>
      </c>
      <c r="E73" s="503">
        <v>10242</v>
      </c>
      <c r="F73" s="497">
        <f t="shared" si="8"/>
        <v>851315.04</v>
      </c>
      <c r="G73" s="498">
        <v>0.27</v>
      </c>
      <c r="H73" s="420"/>
      <c r="I73" s="480"/>
      <c r="J73" s="419"/>
    </row>
    <row r="74" spans="2:10" ht="15.75" x14ac:dyDescent="0.25">
      <c r="B74" s="534"/>
      <c r="C74" s="535"/>
      <c r="D74" s="536"/>
      <c r="E74" s="537"/>
      <c r="F74" s="538"/>
      <c r="G74" s="539"/>
      <c r="H74" s="420"/>
      <c r="I74" s="480"/>
      <c r="J74" s="419"/>
    </row>
    <row r="75" spans="2:10" ht="15.75" x14ac:dyDescent="0.25">
      <c r="B75" s="525"/>
      <c r="C75" s="526"/>
      <c r="D75" s="527"/>
      <c r="E75" s="528"/>
      <c r="F75" s="529"/>
      <c r="G75" s="526"/>
      <c r="H75" s="420"/>
      <c r="I75" s="514"/>
      <c r="J75" s="419"/>
    </row>
    <row r="76" spans="2:10" ht="15.75" x14ac:dyDescent="0.25">
      <c r="B76" s="530"/>
      <c r="C76" s="529"/>
      <c r="D76" s="531"/>
      <c r="E76" s="528"/>
      <c r="F76" s="529"/>
      <c r="G76" s="532"/>
      <c r="H76" s="420"/>
      <c r="I76" s="514"/>
      <c r="J76" s="419"/>
    </row>
    <row r="77" spans="2:10" ht="15.75" x14ac:dyDescent="0.25">
      <c r="B77" s="530"/>
      <c r="C77" s="529"/>
      <c r="D77" s="531"/>
      <c r="E77" s="528"/>
      <c r="F77" s="529"/>
      <c r="G77" s="532"/>
      <c r="H77" s="420"/>
      <c r="I77" s="514"/>
      <c r="J77" s="419"/>
    </row>
    <row r="78" spans="2:10" ht="15.75" x14ac:dyDescent="0.25">
      <c r="B78" s="530"/>
      <c r="C78" s="529"/>
      <c r="D78" s="531"/>
      <c r="E78" s="528"/>
      <c r="F78" s="529"/>
      <c r="G78" s="532"/>
      <c r="H78" s="420"/>
      <c r="I78" s="419"/>
      <c r="J78" s="419"/>
    </row>
  </sheetData>
  <mergeCells count="35">
    <mergeCell ref="F38:I38"/>
    <mergeCell ref="B41:G41"/>
    <mergeCell ref="B42:B43"/>
    <mergeCell ref="C42:C43"/>
    <mergeCell ref="D42:G42"/>
    <mergeCell ref="B37:C37"/>
    <mergeCell ref="F37:I37"/>
    <mergeCell ref="B28:C28"/>
    <mergeCell ref="B29:C29"/>
    <mergeCell ref="B30:C30"/>
    <mergeCell ref="B31:C31"/>
    <mergeCell ref="B32:C32"/>
    <mergeCell ref="B33:C33"/>
    <mergeCell ref="B35:C35"/>
    <mergeCell ref="F35:I35"/>
    <mergeCell ref="B36:C36"/>
    <mergeCell ref="F36:I36"/>
    <mergeCell ref="B27:C27"/>
    <mergeCell ref="B16:D16"/>
    <mergeCell ref="G16:I16"/>
    <mergeCell ref="B17:D17"/>
    <mergeCell ref="G17:I17"/>
    <mergeCell ref="B18:D18"/>
    <mergeCell ref="G18:I18"/>
    <mergeCell ref="B19:D19"/>
    <mergeCell ref="G19:I19"/>
    <mergeCell ref="B20:D20"/>
    <mergeCell ref="B24:I24"/>
    <mergeCell ref="B25:C25"/>
    <mergeCell ref="B1:C1"/>
    <mergeCell ref="B2:C2"/>
    <mergeCell ref="C5:G5"/>
    <mergeCell ref="C9:F9"/>
    <mergeCell ref="B15:E15"/>
    <mergeCell ref="G15:J15"/>
  </mergeCells>
  <dataValidations count="2">
    <dataValidation type="list" allowBlank="1" showInputMessage="1" showErrorMessage="1" sqref="I2:I3" xr:uid="{29EBC712-E92F-458F-96F2-756971C88EFF}">
      <formula1>$A$69:$A$70</formula1>
    </dataValidation>
    <dataValidation type="list" allowBlank="1" showInputMessage="1" showErrorMessage="1" sqref="C13:D14" xr:uid="{816654AE-18BC-43C3-A992-45F3A6897408}">
      <formula1>$A$35:$A$36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29BE-875D-4F8E-AF42-8BD16D281364}">
  <dimension ref="A1:AB276"/>
  <sheetViews>
    <sheetView showGridLines="0" showRowColHeaders="0" zoomScaleNormal="100" workbookViewId="0">
      <selection activeCell="A10" sqref="A10"/>
    </sheetView>
  </sheetViews>
  <sheetFormatPr defaultRowHeight="15" x14ac:dyDescent="0.25"/>
  <cols>
    <col min="2" max="2" width="20" customWidth="1"/>
    <col min="3" max="3" width="19.5703125" customWidth="1"/>
    <col min="5" max="5" width="19" customWidth="1"/>
    <col min="6" max="6" width="11.28515625" customWidth="1"/>
    <col min="9" max="9" width="5.5703125" customWidth="1"/>
    <col min="10" max="10" width="10.85546875" customWidth="1"/>
    <col min="12" max="12" width="9" customWidth="1"/>
    <col min="13" max="13" width="5.42578125" customWidth="1"/>
    <col min="14" max="14" width="10.28515625" customWidth="1"/>
    <col min="18" max="18" width="10.42578125" customWidth="1"/>
    <col min="21" max="21" width="5.85546875" customWidth="1"/>
    <col min="22" max="22" width="10.7109375" customWidth="1"/>
    <col min="25" max="25" width="5.7109375" customWidth="1"/>
    <col min="26" max="26" width="11" customWidth="1"/>
  </cols>
  <sheetData>
    <row r="1" spans="1:28" ht="18.75" x14ac:dyDescent="0.25">
      <c r="A1" s="764" t="s">
        <v>156</v>
      </c>
      <c r="B1" s="764"/>
      <c r="C1" s="764"/>
      <c r="D1" s="764"/>
      <c r="E1" s="333"/>
    </row>
    <row r="2" spans="1:28" ht="19.5" thickBot="1" x14ac:dyDescent="0.3">
      <c r="A2" s="765" t="s">
        <v>14</v>
      </c>
      <c r="B2" s="765"/>
      <c r="C2" s="765"/>
      <c r="D2" s="765"/>
      <c r="E2" s="334"/>
    </row>
    <row r="3" spans="1:28" ht="19.5" thickBot="1" x14ac:dyDescent="0.3">
      <c r="A3" s="766" t="s">
        <v>157</v>
      </c>
      <c r="B3" s="767"/>
      <c r="C3" s="767"/>
      <c r="D3" s="767"/>
      <c r="E3" s="768"/>
    </row>
    <row r="4" spans="1:28" ht="15.75" thickBot="1" x14ac:dyDescent="0.3">
      <c r="A4" s="335"/>
      <c r="B4" s="335"/>
      <c r="C4" s="335"/>
      <c r="D4" s="335"/>
      <c r="E4" s="335"/>
    </row>
    <row r="5" spans="1:28" ht="15.75" x14ac:dyDescent="0.25">
      <c r="A5" s="335"/>
      <c r="B5" s="336" t="s">
        <v>158</v>
      </c>
      <c r="C5" s="337" t="s">
        <v>173</v>
      </c>
      <c r="D5" s="337" t="s">
        <v>159</v>
      </c>
      <c r="E5" s="338" t="s">
        <v>238</v>
      </c>
    </row>
    <row r="6" spans="1:28" x14ac:dyDescent="0.25">
      <c r="A6" s="335"/>
      <c r="B6" s="339" t="s">
        <v>160</v>
      </c>
      <c r="C6" s="340">
        <f>SLOPE($D$15:$D$274,$AB$15:$AB$274)</f>
        <v>1.0468894183881392</v>
      </c>
      <c r="D6" s="340">
        <f>RSQ($D$15:$D$274,$AB$15:$AB$274)</f>
        <v>0.42364535313813872</v>
      </c>
      <c r="E6" s="340">
        <f>WACC!I27</f>
        <v>0.94839920173074976</v>
      </c>
    </row>
    <row r="7" spans="1:28" x14ac:dyDescent="0.25">
      <c r="A7" s="335"/>
      <c r="B7" s="341" t="s">
        <v>161</v>
      </c>
      <c r="C7" s="340">
        <f>SLOPE($H$15:$H$274,$AB$15:$AB$274)</f>
        <v>1.1482571917885187</v>
      </c>
      <c r="D7" s="340">
        <f>RSQ($H$15:$H$274,$AB$15:$AB$274)</f>
        <v>0.27456611401748582</v>
      </c>
      <c r="E7" s="340">
        <f>WACC!I28</f>
        <v>1.0729571325049454</v>
      </c>
    </row>
    <row r="8" spans="1:28" ht="14.25" customHeight="1" x14ac:dyDescent="0.25">
      <c r="A8" s="335"/>
      <c r="B8" s="343" t="s">
        <v>162</v>
      </c>
      <c r="C8" s="342">
        <f>SLOPE($L$15:$L$274,$AB$15:$AB$274)</f>
        <v>0.98031017043028879</v>
      </c>
      <c r="D8" s="342">
        <f>RSQ($L$15:$L$274,$AB$15:$AB$274)</f>
        <v>0.51294365092824212</v>
      </c>
      <c r="E8" s="342">
        <f>WACC!I31</f>
        <v>0.92255576651805649</v>
      </c>
    </row>
    <row r="9" spans="1:28" ht="15.75" customHeight="1" x14ac:dyDescent="0.25">
      <c r="A9" s="335"/>
      <c r="B9" s="343" t="s">
        <v>163</v>
      </c>
      <c r="C9" s="342">
        <f>SLOPE($P$15:$P$274,$AB$15:$AB$274)</f>
        <v>1.0849100377421987</v>
      </c>
      <c r="D9" s="342">
        <f>RSQ($P$15:$P$274,$AB$15:$AB$274)</f>
        <v>0.51435460396817212</v>
      </c>
      <c r="E9" s="342">
        <f>WACC!I30</f>
        <v>1.0084006914947248</v>
      </c>
    </row>
    <row r="10" spans="1:28" x14ac:dyDescent="0.25">
      <c r="A10" s="335"/>
      <c r="B10" s="341" t="s">
        <v>164</v>
      </c>
      <c r="C10" s="342">
        <f>SLOPE($T$15:$T$274,$AB$15:$AB$274)</f>
        <v>0.82168302982702957</v>
      </c>
      <c r="D10" s="342">
        <f>RSQ($T$15:$T$274,$AB$15:$AB$274)</f>
        <v>0.34891555172869654</v>
      </c>
      <c r="E10" s="342">
        <f>WACC!I29</f>
        <v>0.65407641217031509</v>
      </c>
    </row>
    <row r="11" spans="1:28" ht="15.75" thickBot="1" x14ac:dyDescent="0.3">
      <c r="A11" s="335"/>
      <c r="B11" s="344" t="s">
        <v>170</v>
      </c>
      <c r="C11" s="345">
        <f>SLOPE($X$15:$X$274,$AB$15:$AB$274)</f>
        <v>1.0364287863113066</v>
      </c>
      <c r="D11" s="345">
        <f>RSQ($X$15:$X$274,$AB$15:$AB$274)</f>
        <v>0.35750720107166256</v>
      </c>
      <c r="E11" s="345">
        <f>WACC!I32</f>
        <v>0.90188095179381667</v>
      </c>
    </row>
    <row r="13" spans="1:28" x14ac:dyDescent="0.25">
      <c r="B13" s="769" t="s">
        <v>160</v>
      </c>
      <c r="C13" s="770"/>
      <c r="D13" s="771"/>
      <c r="F13" s="763" t="s">
        <v>161</v>
      </c>
      <c r="G13" s="763"/>
      <c r="H13" s="763"/>
      <c r="J13" s="763" t="s">
        <v>168</v>
      </c>
      <c r="K13" s="763"/>
      <c r="L13" s="763"/>
      <c r="N13" s="763" t="s">
        <v>163</v>
      </c>
      <c r="O13" s="763"/>
      <c r="P13" s="763"/>
      <c r="R13" s="763" t="s">
        <v>169</v>
      </c>
      <c r="S13" s="763"/>
      <c r="T13" s="763"/>
      <c r="V13" s="763" t="s">
        <v>171</v>
      </c>
      <c r="W13" s="763"/>
      <c r="X13" s="763"/>
      <c r="Z13" s="763" t="s">
        <v>172</v>
      </c>
      <c r="AA13" s="763"/>
      <c r="AB13" s="763"/>
    </row>
    <row r="14" spans="1:28" x14ac:dyDescent="0.25">
      <c r="B14" s="347" t="s">
        <v>165</v>
      </c>
      <c r="C14" s="347" t="s">
        <v>166</v>
      </c>
      <c r="D14" s="347" t="s">
        <v>167</v>
      </c>
      <c r="F14" s="347" t="s">
        <v>165</v>
      </c>
      <c r="G14" s="347" t="s">
        <v>166</v>
      </c>
      <c r="H14" s="347" t="s">
        <v>167</v>
      </c>
      <c r="J14" s="347" t="s">
        <v>165</v>
      </c>
      <c r="K14" s="347" t="s">
        <v>166</v>
      </c>
      <c r="L14" s="347" t="s">
        <v>167</v>
      </c>
      <c r="N14" s="347" t="s">
        <v>165</v>
      </c>
      <c r="O14" s="347" t="s">
        <v>166</v>
      </c>
      <c r="P14" s="347" t="s">
        <v>167</v>
      </c>
      <c r="R14" s="347" t="s">
        <v>165</v>
      </c>
      <c r="S14" s="347" t="s">
        <v>166</v>
      </c>
      <c r="T14" s="347" t="s">
        <v>167</v>
      </c>
      <c r="V14" s="347" t="s">
        <v>165</v>
      </c>
      <c r="W14" s="347" t="s">
        <v>166</v>
      </c>
      <c r="X14" s="347" t="s">
        <v>167</v>
      </c>
      <c r="Z14" s="347" t="s">
        <v>165</v>
      </c>
      <c r="AA14" s="347" t="s">
        <v>166</v>
      </c>
      <c r="AB14" s="347" t="s">
        <v>167</v>
      </c>
    </row>
    <row r="15" spans="1:28" x14ac:dyDescent="0.25">
      <c r="B15" s="346">
        <v>45669</v>
      </c>
      <c r="C15">
        <v>197.55</v>
      </c>
      <c r="D15" s="102">
        <f>C15/C16-1</f>
        <v>2.267432831184979E-2</v>
      </c>
      <c r="F15" s="346">
        <v>45669</v>
      </c>
      <c r="G15">
        <v>612.77</v>
      </c>
      <c r="H15" s="102">
        <f>G15/G16-1</f>
        <v>-5.0173740785244281E-3</v>
      </c>
      <c r="J15" s="346">
        <v>45669</v>
      </c>
      <c r="K15">
        <v>429.03</v>
      </c>
      <c r="L15" s="102">
        <f>K15/K16-1</f>
        <v>2.4060150375939893E-2</v>
      </c>
      <c r="N15" s="346">
        <v>45669</v>
      </c>
      <c r="O15">
        <v>229.98</v>
      </c>
      <c r="P15" s="102">
        <f>O15/O16-1</f>
        <v>-2.9005699810006336E-2</v>
      </c>
      <c r="R15" s="346">
        <v>45669</v>
      </c>
      <c r="S15">
        <v>224.79</v>
      </c>
      <c r="T15" s="102">
        <f>S15/S16-1</f>
        <v>2.2935153583617751E-2</v>
      </c>
      <c r="V15" s="346">
        <v>45669</v>
      </c>
      <c r="W15">
        <v>225.94</v>
      </c>
      <c r="X15" s="102">
        <f>W15/W16-1</f>
        <v>3.1972229834657862E-2</v>
      </c>
      <c r="Z15" s="346">
        <v>45669</v>
      </c>
      <c r="AA15" s="348">
        <v>6033.5</v>
      </c>
      <c r="AB15" s="102">
        <f>AA15/AA16-1</f>
        <v>2.8510547624120974E-2</v>
      </c>
    </row>
    <row r="16" spans="1:28" x14ac:dyDescent="0.25">
      <c r="B16" s="346">
        <v>45662</v>
      </c>
      <c r="C16">
        <v>193.17</v>
      </c>
      <c r="D16" s="102">
        <f t="shared" ref="D16:D79" si="0">C16/C17-1</f>
        <v>2.0711437891574036E-4</v>
      </c>
      <c r="F16" s="346">
        <v>45662</v>
      </c>
      <c r="G16">
        <v>615.86</v>
      </c>
      <c r="H16" s="102">
        <f t="shared" ref="H16:H79" si="1">G16/G17-1</f>
        <v>1.857334237467545E-2</v>
      </c>
      <c r="J16" s="346">
        <v>45662</v>
      </c>
      <c r="K16">
        <v>418.95</v>
      </c>
      <c r="L16" s="102">
        <f t="shared" ref="L16:L79" si="2">K16/K17-1</f>
        <v>-1.0393291602692867E-2</v>
      </c>
      <c r="N16" s="346">
        <v>45662</v>
      </c>
      <c r="O16">
        <v>236.85</v>
      </c>
      <c r="P16" s="102">
        <f t="shared" ref="P16:P79" si="3">O16/O17-1</f>
        <v>-2.675049309664701E-2</v>
      </c>
      <c r="R16" s="346">
        <v>45662</v>
      </c>
      <c r="S16">
        <v>219.75</v>
      </c>
      <c r="T16" s="102">
        <f t="shared" ref="T16:T79" si="4">S16/S17-1</f>
        <v>-1.302492701549518E-2</v>
      </c>
      <c r="V16" s="346">
        <v>45662</v>
      </c>
      <c r="W16">
        <v>218.94</v>
      </c>
      <c r="X16" s="102">
        <f t="shared" ref="X16:X79" si="5">W16/W17-1</f>
        <v>-2.3417636825906585E-2</v>
      </c>
      <c r="Z16" s="346">
        <v>45662</v>
      </c>
      <c r="AA16" s="348">
        <v>5866.25</v>
      </c>
      <c r="AB16" s="102">
        <f t="shared" ref="AB16:AB79" si="6">AA16/AA17-1</f>
        <v>-2.0577677602470978E-2</v>
      </c>
    </row>
    <row r="17" spans="2:28" x14ac:dyDescent="0.25">
      <c r="B17" s="346">
        <v>45655</v>
      </c>
      <c r="C17">
        <v>193.13</v>
      </c>
      <c r="D17" s="102">
        <f t="shared" si="0"/>
        <v>-4.6897546897546327E-3</v>
      </c>
      <c r="F17" s="346">
        <v>45655</v>
      </c>
      <c r="G17">
        <v>604.63</v>
      </c>
      <c r="H17" s="102">
        <f t="shared" si="1"/>
        <v>8.035878028042287E-3</v>
      </c>
      <c r="J17" s="346">
        <v>45655</v>
      </c>
      <c r="K17">
        <v>423.35</v>
      </c>
      <c r="L17" s="102">
        <f t="shared" si="2"/>
        <v>-1.6677118899960375E-2</v>
      </c>
      <c r="N17" s="346">
        <v>45655</v>
      </c>
      <c r="O17">
        <v>243.36</v>
      </c>
      <c r="P17" s="102">
        <f t="shared" si="3"/>
        <v>-4.7850072381548481E-2</v>
      </c>
      <c r="R17" s="346">
        <v>45655</v>
      </c>
      <c r="S17">
        <v>222.65</v>
      </c>
      <c r="T17" s="102">
        <f t="shared" si="4"/>
        <v>-5.8353532633093064E-4</v>
      </c>
      <c r="V17" s="346">
        <v>45655</v>
      </c>
      <c r="W17">
        <v>224.19</v>
      </c>
      <c r="X17" s="102">
        <f t="shared" si="5"/>
        <v>1.9664804469272656E-3</v>
      </c>
      <c r="Z17" s="346">
        <v>45655</v>
      </c>
      <c r="AA17" s="348">
        <v>5989.5</v>
      </c>
      <c r="AB17" s="102">
        <f t="shared" si="6"/>
        <v>-6.2220009955201716E-3</v>
      </c>
    </row>
    <row r="18" spans="2:28" x14ac:dyDescent="0.25">
      <c r="B18" s="346">
        <v>45648</v>
      </c>
      <c r="C18">
        <v>194.04</v>
      </c>
      <c r="D18" s="102">
        <f t="shared" si="0"/>
        <v>5.5970149253730117E-3</v>
      </c>
      <c r="F18" s="346">
        <v>45648</v>
      </c>
      <c r="G18">
        <v>599.80999999999995</v>
      </c>
      <c r="H18" s="102">
        <f t="shared" si="1"/>
        <v>2.4878257155061867E-2</v>
      </c>
      <c r="J18" s="346">
        <v>45648</v>
      </c>
      <c r="K18">
        <v>430.53</v>
      </c>
      <c r="L18" s="102">
        <f t="shared" si="2"/>
        <v>-1.3902885936784348E-2</v>
      </c>
      <c r="N18" s="346">
        <v>45648</v>
      </c>
      <c r="O18">
        <v>255.59</v>
      </c>
      <c r="P18" s="102">
        <f t="shared" si="3"/>
        <v>4.3223702306574019E-3</v>
      </c>
      <c r="R18" s="346">
        <v>45648</v>
      </c>
      <c r="S18">
        <v>222.78</v>
      </c>
      <c r="T18" s="102">
        <f t="shared" si="4"/>
        <v>-2.5967048710602292E-3</v>
      </c>
      <c r="V18" s="346">
        <v>45648</v>
      </c>
      <c r="W18">
        <v>223.75</v>
      </c>
      <c r="X18" s="102">
        <f t="shared" si="5"/>
        <v>-5.2018495465053771E-3</v>
      </c>
      <c r="Z18" s="346">
        <v>45648</v>
      </c>
      <c r="AA18" s="348">
        <v>6027</v>
      </c>
      <c r="AB18" s="102">
        <f t="shared" si="6"/>
        <v>4.2071062606738874E-3</v>
      </c>
    </row>
    <row r="19" spans="2:28" x14ac:dyDescent="0.25">
      <c r="B19" s="346">
        <v>45641</v>
      </c>
      <c r="C19">
        <v>192.96</v>
      </c>
      <c r="D19" s="102">
        <f t="shared" si="0"/>
        <v>8.2558261051313142E-3</v>
      </c>
      <c r="F19" s="346">
        <v>45641</v>
      </c>
      <c r="G19">
        <v>585.25</v>
      </c>
      <c r="H19" s="102">
        <f t="shared" si="1"/>
        <v>-5.6580962359958131E-2</v>
      </c>
      <c r="J19" s="346">
        <v>45641</v>
      </c>
      <c r="K19">
        <v>436.6</v>
      </c>
      <c r="L19" s="102">
        <f t="shared" si="2"/>
        <v>-2.3855836519328322E-2</v>
      </c>
      <c r="N19" s="346">
        <v>45641</v>
      </c>
      <c r="O19">
        <v>254.49</v>
      </c>
      <c r="P19" s="102">
        <f t="shared" si="3"/>
        <v>2.563172530528357E-2</v>
      </c>
      <c r="R19" s="346">
        <v>45641</v>
      </c>
      <c r="S19">
        <v>223.36</v>
      </c>
      <c r="T19" s="102">
        <f t="shared" si="4"/>
        <v>-3.2319556364266422E-2</v>
      </c>
      <c r="V19" s="346">
        <v>45641</v>
      </c>
      <c r="W19">
        <v>224.92</v>
      </c>
      <c r="X19" s="102">
        <f t="shared" si="5"/>
        <v>-1.11667985579883E-2</v>
      </c>
      <c r="Z19" s="346">
        <v>45641</v>
      </c>
      <c r="AA19" s="348">
        <v>6001.75</v>
      </c>
      <c r="AB19" s="102">
        <f t="shared" si="6"/>
        <v>-2.0242419295596448E-2</v>
      </c>
    </row>
    <row r="20" spans="2:28" x14ac:dyDescent="0.25">
      <c r="B20" s="346">
        <v>45634</v>
      </c>
      <c r="C20">
        <v>191.38</v>
      </c>
      <c r="D20" s="102">
        <f t="shared" si="0"/>
        <v>8.4367386254178722E-2</v>
      </c>
      <c r="F20" s="346">
        <v>45634</v>
      </c>
      <c r="G20">
        <v>620.35</v>
      </c>
      <c r="H20" s="102">
        <f t="shared" si="1"/>
        <v>-5.4827901309777438E-3</v>
      </c>
      <c r="J20" s="346">
        <v>45634</v>
      </c>
      <c r="K20">
        <v>447.27</v>
      </c>
      <c r="L20" s="102">
        <f t="shared" si="2"/>
        <v>8.3414117275739663E-3</v>
      </c>
      <c r="N20" s="346">
        <v>45634</v>
      </c>
      <c r="O20">
        <v>248.13</v>
      </c>
      <c r="P20" s="102">
        <f t="shared" si="3"/>
        <v>2.1783890627573577E-2</v>
      </c>
      <c r="R20" s="346">
        <v>45634</v>
      </c>
      <c r="S20">
        <v>230.82</v>
      </c>
      <c r="T20" s="102">
        <f t="shared" si="4"/>
        <v>-3.0331036800537725E-2</v>
      </c>
      <c r="V20" s="346">
        <v>45634</v>
      </c>
      <c r="W20">
        <v>227.46</v>
      </c>
      <c r="X20" s="102">
        <f t="shared" si="5"/>
        <v>1.8940228163679684E-3</v>
      </c>
      <c r="Z20" s="346">
        <v>45634</v>
      </c>
      <c r="AA20" s="348">
        <v>6125.75</v>
      </c>
      <c r="AB20" s="102">
        <f t="shared" si="6"/>
        <v>-6.6888276309389205E-3</v>
      </c>
    </row>
    <row r="21" spans="2:28" x14ac:dyDescent="0.25">
      <c r="B21" s="346">
        <v>45627</v>
      </c>
      <c r="C21">
        <v>176.49</v>
      </c>
      <c r="D21" s="102">
        <f t="shared" si="0"/>
        <v>3.5192679922576131E-2</v>
      </c>
      <c r="F21" s="346">
        <v>45627</v>
      </c>
      <c r="G21">
        <v>623.77</v>
      </c>
      <c r="H21" s="102">
        <f t="shared" si="1"/>
        <v>8.610182476668049E-2</v>
      </c>
      <c r="J21" s="346">
        <v>45627</v>
      </c>
      <c r="K21">
        <v>443.57</v>
      </c>
      <c r="L21" s="102">
        <f t="shared" si="2"/>
        <v>4.7489727483115418E-2</v>
      </c>
      <c r="N21" s="346">
        <v>45627</v>
      </c>
      <c r="O21">
        <v>242.84</v>
      </c>
      <c r="P21" s="102">
        <f t="shared" si="3"/>
        <v>2.3216618210929907E-2</v>
      </c>
      <c r="R21" s="346">
        <v>45627</v>
      </c>
      <c r="S21">
        <v>238.04</v>
      </c>
      <c r="T21" s="102">
        <f t="shared" si="4"/>
        <v>4.6743766764874017E-2</v>
      </c>
      <c r="V21" s="346">
        <v>45627</v>
      </c>
      <c r="W21">
        <v>227.03</v>
      </c>
      <c r="X21" s="102">
        <f t="shared" si="5"/>
        <v>9.2067920534898429E-2</v>
      </c>
      <c r="Z21" s="346">
        <v>45627</v>
      </c>
      <c r="AA21" s="348">
        <v>6167</v>
      </c>
      <c r="AB21" s="102">
        <f t="shared" si="6"/>
        <v>7.8444190227160426E-3</v>
      </c>
    </row>
    <row r="22" spans="2:28" x14ac:dyDescent="0.25">
      <c r="B22" s="346">
        <v>45620</v>
      </c>
      <c r="C22">
        <v>170.49</v>
      </c>
      <c r="D22" s="102">
        <f t="shared" si="0"/>
        <v>2.3533649516719768E-2</v>
      </c>
      <c r="F22" s="346">
        <v>45620</v>
      </c>
      <c r="G22">
        <v>574.32000000000005</v>
      </c>
      <c r="H22" s="102">
        <f t="shared" si="1"/>
        <v>2.7148835711986452E-2</v>
      </c>
      <c r="J22" s="346">
        <v>45620</v>
      </c>
      <c r="K22">
        <v>423.46</v>
      </c>
      <c r="L22" s="102">
        <f t="shared" si="2"/>
        <v>1.5491606714628237E-2</v>
      </c>
      <c r="N22" s="346">
        <v>45620</v>
      </c>
      <c r="O22">
        <v>237.33</v>
      </c>
      <c r="P22" s="102">
        <f t="shared" si="3"/>
        <v>3.245312567973202E-2</v>
      </c>
      <c r="R22" s="346">
        <v>45620</v>
      </c>
      <c r="S22">
        <v>227.41</v>
      </c>
      <c r="T22" s="102">
        <f t="shared" si="4"/>
        <v>1.9912992779297589E-2</v>
      </c>
      <c r="V22" s="346">
        <v>45620</v>
      </c>
      <c r="W22">
        <v>207.89</v>
      </c>
      <c r="X22" s="102">
        <f t="shared" si="5"/>
        <v>5.4636769480519431E-2</v>
      </c>
      <c r="Z22" s="346">
        <v>45620</v>
      </c>
      <c r="AA22" s="348">
        <v>6119</v>
      </c>
      <c r="AB22" s="102">
        <f t="shared" si="6"/>
        <v>2.2047770168698744E-2</v>
      </c>
    </row>
    <row r="23" spans="2:28" x14ac:dyDescent="0.25">
      <c r="B23" s="346">
        <v>45613</v>
      </c>
      <c r="C23">
        <v>166.57</v>
      </c>
      <c r="D23" s="102">
        <f t="shared" si="0"/>
        <v>-4.2095577664040484E-2</v>
      </c>
      <c r="F23" s="346">
        <v>45613</v>
      </c>
      <c r="G23">
        <v>559.14</v>
      </c>
      <c r="H23" s="102">
        <f t="shared" si="1"/>
        <v>9.1322552699970583E-3</v>
      </c>
      <c r="J23" s="346">
        <v>45613</v>
      </c>
      <c r="K23">
        <v>417</v>
      </c>
      <c r="L23" s="102">
        <f t="shared" si="2"/>
        <v>4.8192771084336616E-3</v>
      </c>
      <c r="N23" s="346">
        <v>45613</v>
      </c>
      <c r="O23">
        <v>229.87</v>
      </c>
      <c r="P23" s="102">
        <f t="shared" si="3"/>
        <v>2.1644444444444355E-2</v>
      </c>
      <c r="R23" s="346">
        <v>45613</v>
      </c>
      <c r="S23">
        <v>222.97</v>
      </c>
      <c r="T23" s="102">
        <f t="shared" si="4"/>
        <v>8.7711595687594457E-2</v>
      </c>
      <c r="V23" s="346">
        <v>45613</v>
      </c>
      <c r="W23">
        <v>197.12</v>
      </c>
      <c r="X23" s="102">
        <f t="shared" si="5"/>
        <v>-2.7096392083312826E-2</v>
      </c>
      <c r="Z23" s="346">
        <v>45613</v>
      </c>
      <c r="AA23" s="348">
        <v>5987</v>
      </c>
      <c r="AB23" s="102">
        <f t="shared" si="6"/>
        <v>1.5348087848723768E-2</v>
      </c>
    </row>
    <row r="24" spans="2:28" x14ac:dyDescent="0.25">
      <c r="B24" s="346">
        <v>45606</v>
      </c>
      <c r="C24">
        <v>173.89</v>
      </c>
      <c r="D24" s="102">
        <f t="shared" si="0"/>
        <v>-3.3192483042366439E-2</v>
      </c>
      <c r="F24" s="346">
        <v>45606</v>
      </c>
      <c r="G24">
        <v>554.08000000000004</v>
      </c>
      <c r="H24" s="102">
        <f t="shared" si="1"/>
        <v>-5.982963993619983E-2</v>
      </c>
      <c r="J24" s="346">
        <v>45606</v>
      </c>
      <c r="K24">
        <v>415</v>
      </c>
      <c r="L24" s="102">
        <f t="shared" si="2"/>
        <v>-1.7844464429403128E-2</v>
      </c>
      <c r="N24" s="346">
        <v>45606</v>
      </c>
      <c r="O24">
        <v>225</v>
      </c>
      <c r="P24" s="102">
        <f t="shared" si="3"/>
        <v>-8.635882974973641E-3</v>
      </c>
      <c r="R24" s="346">
        <v>45606</v>
      </c>
      <c r="S24">
        <v>204.99</v>
      </c>
      <c r="T24" s="102">
        <f t="shared" si="4"/>
        <v>-4.0847838293093686E-2</v>
      </c>
      <c r="V24" s="346">
        <v>45606</v>
      </c>
      <c r="W24">
        <v>202.61</v>
      </c>
      <c r="X24" s="102">
        <f t="shared" si="5"/>
        <v>-2.6755692189451397E-2</v>
      </c>
      <c r="Z24" s="346">
        <v>45606</v>
      </c>
      <c r="AA24" s="348">
        <v>5896.5</v>
      </c>
      <c r="AB24" s="102">
        <f t="shared" si="6"/>
        <v>-2.1368407949877599E-2</v>
      </c>
    </row>
    <row r="25" spans="2:28" x14ac:dyDescent="0.25">
      <c r="B25" s="346">
        <v>45599</v>
      </c>
      <c r="C25">
        <v>179.86</v>
      </c>
      <c r="D25" s="102">
        <f t="shared" si="0"/>
        <v>4.176078772082259E-2</v>
      </c>
      <c r="F25" s="346">
        <v>45599</v>
      </c>
      <c r="G25">
        <v>589.34</v>
      </c>
      <c r="H25" s="102">
        <f t="shared" si="1"/>
        <v>3.9107130263065226E-2</v>
      </c>
      <c r="J25" s="346">
        <v>45599</v>
      </c>
      <c r="K25">
        <v>422.54</v>
      </c>
      <c r="L25" s="102">
        <f t="shared" si="2"/>
        <v>2.9656163949606462E-2</v>
      </c>
      <c r="N25" s="346">
        <v>45599</v>
      </c>
      <c r="O25">
        <v>226.96</v>
      </c>
      <c r="P25" s="102">
        <f t="shared" si="3"/>
        <v>1.8168767664079821E-2</v>
      </c>
      <c r="R25" s="346">
        <v>45599</v>
      </c>
      <c r="S25">
        <v>213.72</v>
      </c>
      <c r="T25" s="102">
        <f t="shared" si="4"/>
        <v>2.6266506602641071E-2</v>
      </c>
      <c r="V25" s="346">
        <v>45599</v>
      </c>
      <c r="W25">
        <v>208.18</v>
      </c>
      <c r="X25" s="102">
        <f t="shared" si="5"/>
        <v>5.1785984944172192E-2</v>
      </c>
      <c r="Z25" s="346">
        <v>45599</v>
      </c>
      <c r="AA25" s="348">
        <v>6025.25</v>
      </c>
      <c r="AB25" s="102">
        <f t="shared" si="6"/>
        <v>4.6368254243911E-2</v>
      </c>
    </row>
    <row r="26" spans="2:28" x14ac:dyDescent="0.25">
      <c r="B26" s="346">
        <v>45592</v>
      </c>
      <c r="C26">
        <v>172.65</v>
      </c>
      <c r="D26" s="102">
        <f t="shared" si="0"/>
        <v>3.3894245164381109E-2</v>
      </c>
      <c r="F26" s="346">
        <v>45592</v>
      </c>
      <c r="G26">
        <v>567.16</v>
      </c>
      <c r="H26" s="102">
        <f t="shared" si="1"/>
        <v>-1.0623637156563559E-2</v>
      </c>
      <c r="J26" s="346">
        <v>45592</v>
      </c>
      <c r="K26">
        <v>410.37</v>
      </c>
      <c r="L26" s="102">
        <f t="shared" si="2"/>
        <v>-4.1527502043676168E-2</v>
      </c>
      <c r="N26" s="346">
        <v>45592</v>
      </c>
      <c r="O26">
        <v>222.91</v>
      </c>
      <c r="P26" s="102">
        <f t="shared" si="3"/>
        <v>-3.6731342638606779E-2</v>
      </c>
      <c r="R26" s="346">
        <v>45592</v>
      </c>
      <c r="S26">
        <v>208.25</v>
      </c>
      <c r="T26" s="102">
        <f t="shared" si="4"/>
        <v>-2.990636791354162E-2</v>
      </c>
      <c r="V26" s="346">
        <v>45592</v>
      </c>
      <c r="W26">
        <v>197.93</v>
      </c>
      <c r="X26" s="102">
        <f t="shared" si="5"/>
        <v>5.3772027897566854E-2</v>
      </c>
      <c r="Z26" s="346">
        <v>45592</v>
      </c>
      <c r="AA26" s="348">
        <v>5758.25</v>
      </c>
      <c r="AB26" s="102">
        <f t="shared" si="6"/>
        <v>-1.5010263427984949E-2</v>
      </c>
    </row>
    <row r="27" spans="2:28" x14ac:dyDescent="0.25">
      <c r="B27" s="346">
        <v>45585</v>
      </c>
      <c r="C27">
        <v>166.99</v>
      </c>
      <c r="D27" s="102">
        <f t="shared" si="0"/>
        <v>1.1754013935171059E-2</v>
      </c>
      <c r="F27" s="346">
        <v>45585</v>
      </c>
      <c r="G27">
        <v>573.25</v>
      </c>
      <c r="H27" s="102">
        <f t="shared" si="1"/>
        <v>-5.5857199854285611E-3</v>
      </c>
      <c r="J27" s="346">
        <v>45585</v>
      </c>
      <c r="K27">
        <v>428.15</v>
      </c>
      <c r="L27" s="102">
        <f t="shared" si="2"/>
        <v>2.3890376889228904E-2</v>
      </c>
      <c r="N27" s="346">
        <v>45585</v>
      </c>
      <c r="O27">
        <v>231.41</v>
      </c>
      <c r="P27" s="102">
        <f t="shared" si="3"/>
        <v>-1.5276595744680876E-2</v>
      </c>
      <c r="R27" s="346">
        <v>45585</v>
      </c>
      <c r="S27">
        <v>214.67</v>
      </c>
      <c r="T27" s="102">
        <f t="shared" si="4"/>
        <v>-7.549526270456508E-2</v>
      </c>
      <c r="V27" s="346">
        <v>45585</v>
      </c>
      <c r="W27">
        <v>187.83</v>
      </c>
      <c r="X27" s="102">
        <f t="shared" si="5"/>
        <v>-6.1378908936980947E-3</v>
      </c>
      <c r="Z27" s="346">
        <v>45585</v>
      </c>
      <c r="AA27" s="348">
        <v>5846</v>
      </c>
      <c r="AB27" s="102">
        <f t="shared" si="6"/>
        <v>-1.0159160176092086E-2</v>
      </c>
    </row>
    <row r="28" spans="2:28" x14ac:dyDescent="0.25">
      <c r="B28" s="346">
        <v>45578</v>
      </c>
      <c r="C28">
        <v>165.05</v>
      </c>
      <c r="D28" s="102">
        <f t="shared" si="0"/>
        <v>3.221492827619743E-3</v>
      </c>
      <c r="F28" s="346">
        <v>45578</v>
      </c>
      <c r="G28">
        <v>576.47</v>
      </c>
      <c r="H28" s="102">
        <f t="shared" si="1"/>
        <v>-2.2849394016442148E-2</v>
      </c>
      <c r="J28" s="346">
        <v>45578</v>
      </c>
      <c r="K28">
        <v>418.16</v>
      </c>
      <c r="L28" s="102">
        <f t="shared" si="2"/>
        <v>4.4196771714066774E-3</v>
      </c>
      <c r="N28" s="346">
        <v>45578</v>
      </c>
      <c r="O28">
        <v>235</v>
      </c>
      <c r="P28" s="102">
        <f t="shared" si="3"/>
        <v>3.2740057130300926E-2</v>
      </c>
      <c r="R28" s="346">
        <v>45578</v>
      </c>
      <c r="S28">
        <v>232.2</v>
      </c>
      <c r="T28" s="102">
        <f t="shared" si="4"/>
        <v>-4.5442853468232736E-3</v>
      </c>
      <c r="V28" s="346">
        <v>45578</v>
      </c>
      <c r="W28">
        <v>188.99</v>
      </c>
      <c r="X28" s="102">
        <f t="shared" si="5"/>
        <v>9.0032835504727515E-4</v>
      </c>
      <c r="Z28" s="346">
        <v>45578</v>
      </c>
      <c r="AA28" s="348">
        <v>5906</v>
      </c>
      <c r="AB28" s="102">
        <f t="shared" si="6"/>
        <v>7.8928281923289489E-3</v>
      </c>
    </row>
    <row r="29" spans="2:28" x14ac:dyDescent="0.25">
      <c r="B29" s="346">
        <v>45571</v>
      </c>
      <c r="C29">
        <v>164.52</v>
      </c>
      <c r="D29" s="102">
        <f t="shared" si="0"/>
        <v>-2.3967726625533925E-2</v>
      </c>
      <c r="F29" s="346">
        <v>45571</v>
      </c>
      <c r="G29">
        <v>589.95000000000005</v>
      </c>
      <c r="H29" s="102">
        <f t="shared" si="1"/>
        <v>-1.0051347451085713E-2</v>
      </c>
      <c r="J29" s="346">
        <v>45571</v>
      </c>
      <c r="K29">
        <v>416.32</v>
      </c>
      <c r="L29" s="102">
        <f t="shared" si="2"/>
        <v>6.2490986876895249E-4</v>
      </c>
      <c r="N29" s="346">
        <v>45571</v>
      </c>
      <c r="O29">
        <v>227.55</v>
      </c>
      <c r="P29" s="102">
        <f t="shared" si="3"/>
        <v>3.3068783068783691E-3</v>
      </c>
      <c r="R29" s="346">
        <v>45571</v>
      </c>
      <c r="S29">
        <v>233.26</v>
      </c>
      <c r="T29" s="102">
        <f t="shared" si="4"/>
        <v>3.2123893805309667E-2</v>
      </c>
      <c r="V29" s="346">
        <v>45571</v>
      </c>
      <c r="W29">
        <v>188.82</v>
      </c>
      <c r="X29" s="102">
        <f t="shared" si="5"/>
        <v>1.2385394884992795E-2</v>
      </c>
      <c r="Z29" s="346">
        <v>45571</v>
      </c>
      <c r="AA29" s="348">
        <v>5859.75</v>
      </c>
      <c r="AB29" s="102">
        <f t="shared" si="6"/>
        <v>1.0301724137931068E-2</v>
      </c>
    </row>
    <row r="30" spans="2:28" x14ac:dyDescent="0.25">
      <c r="B30" s="346">
        <v>45564</v>
      </c>
      <c r="C30">
        <v>168.56</v>
      </c>
      <c r="D30" s="102">
        <f t="shared" si="0"/>
        <v>1.9783410974650639E-2</v>
      </c>
      <c r="F30" s="346">
        <v>45564</v>
      </c>
      <c r="G30">
        <v>595.94000000000005</v>
      </c>
      <c r="H30" s="102">
        <f t="shared" si="1"/>
        <v>5.037366046249292E-2</v>
      </c>
      <c r="J30" s="346">
        <v>45564</v>
      </c>
      <c r="K30">
        <v>416.06</v>
      </c>
      <c r="L30" s="102">
        <f t="shared" si="2"/>
        <v>-2.7942619503761423E-2</v>
      </c>
      <c r="N30" s="346">
        <v>45564</v>
      </c>
      <c r="O30">
        <v>226.8</v>
      </c>
      <c r="P30" s="102">
        <f t="shared" si="3"/>
        <v>-4.3461082576056187E-3</v>
      </c>
      <c r="R30" s="346">
        <v>45564</v>
      </c>
      <c r="S30">
        <v>226</v>
      </c>
      <c r="T30" s="102">
        <f t="shared" si="4"/>
        <v>2.3365332367324854E-2</v>
      </c>
      <c r="V30" s="346">
        <v>45564</v>
      </c>
      <c r="W30">
        <v>186.51</v>
      </c>
      <c r="X30" s="102">
        <f t="shared" si="5"/>
        <v>-7.7671968931213309E-3</v>
      </c>
      <c r="Z30" s="346">
        <v>45564</v>
      </c>
      <c r="AA30" s="348">
        <v>5800</v>
      </c>
      <c r="AB30" s="102">
        <f t="shared" si="6"/>
        <v>1.5109000647528514E-3</v>
      </c>
    </row>
    <row r="31" spans="2:28" x14ac:dyDescent="0.25">
      <c r="B31" s="346">
        <v>45557</v>
      </c>
      <c r="C31">
        <v>165.29</v>
      </c>
      <c r="D31" s="102">
        <f t="shared" si="0"/>
        <v>3.948007774538409E-3</v>
      </c>
      <c r="F31" s="346">
        <v>45557</v>
      </c>
      <c r="G31">
        <v>567.36</v>
      </c>
      <c r="H31" s="102">
        <f t="shared" si="1"/>
        <v>1.0706332947359121E-2</v>
      </c>
      <c r="J31" s="346">
        <v>45557</v>
      </c>
      <c r="K31">
        <v>428.02</v>
      </c>
      <c r="L31" s="102">
        <f t="shared" si="2"/>
        <v>-1.6656328256025033E-2</v>
      </c>
      <c r="N31" s="346">
        <v>45557</v>
      </c>
      <c r="O31">
        <v>227.79</v>
      </c>
      <c r="P31" s="102">
        <f t="shared" si="3"/>
        <v>-1.7966695880806682E-3</v>
      </c>
      <c r="R31" s="346">
        <v>45557</v>
      </c>
      <c r="S31">
        <v>220.84</v>
      </c>
      <c r="T31" s="102">
        <f t="shared" si="4"/>
        <v>1.4423518603583041E-2</v>
      </c>
      <c r="V31" s="346">
        <v>45557</v>
      </c>
      <c r="W31">
        <v>187.97</v>
      </c>
      <c r="X31" s="102">
        <f t="shared" si="5"/>
        <v>-1.894572025052188E-2</v>
      </c>
      <c r="Z31" s="346">
        <v>45557</v>
      </c>
      <c r="AA31" s="348">
        <v>5791.25</v>
      </c>
      <c r="AB31" s="102">
        <f t="shared" si="6"/>
        <v>5.0763623741756358E-3</v>
      </c>
    </row>
    <row r="32" spans="2:28" x14ac:dyDescent="0.25">
      <c r="B32" s="346">
        <v>45550</v>
      </c>
      <c r="C32">
        <v>164.64</v>
      </c>
      <c r="D32" s="102">
        <f t="shared" si="0"/>
        <v>3.9590831596893139E-2</v>
      </c>
      <c r="F32" s="346">
        <v>45550</v>
      </c>
      <c r="G32">
        <v>561.35</v>
      </c>
      <c r="H32" s="102">
        <f t="shared" si="1"/>
        <v>7.0012580534482227E-2</v>
      </c>
      <c r="J32" s="346">
        <v>45550</v>
      </c>
      <c r="K32">
        <v>435.27</v>
      </c>
      <c r="L32" s="102">
        <f t="shared" si="2"/>
        <v>1.0868807914721668E-2</v>
      </c>
      <c r="N32" s="346">
        <v>45550</v>
      </c>
      <c r="O32">
        <v>228.2</v>
      </c>
      <c r="P32" s="102">
        <f t="shared" si="3"/>
        <v>2.5617977528089808E-2</v>
      </c>
      <c r="R32" s="346">
        <v>45550</v>
      </c>
      <c r="S32">
        <v>217.7</v>
      </c>
      <c r="T32" s="102">
        <f t="shared" si="4"/>
        <v>1.3548116765212503E-2</v>
      </c>
      <c r="V32" s="346">
        <v>45550</v>
      </c>
      <c r="W32">
        <v>191.6</v>
      </c>
      <c r="X32" s="102">
        <f t="shared" si="5"/>
        <v>2.7400933025899521E-2</v>
      </c>
      <c r="Z32" s="346">
        <v>45550</v>
      </c>
      <c r="AA32" s="348">
        <v>5762</v>
      </c>
      <c r="AB32" s="102">
        <f t="shared" si="6"/>
        <v>1.2475839044104653E-2</v>
      </c>
    </row>
    <row r="33" spans="2:28" x14ac:dyDescent="0.25">
      <c r="B33" s="346">
        <v>45543</v>
      </c>
      <c r="C33">
        <v>158.37</v>
      </c>
      <c r="D33" s="102">
        <f t="shared" si="0"/>
        <v>4.1017550778939205E-2</v>
      </c>
      <c r="F33" s="346">
        <v>45543</v>
      </c>
      <c r="G33">
        <v>524.62</v>
      </c>
      <c r="H33" s="102">
        <f t="shared" si="1"/>
        <v>4.8673716193255778E-2</v>
      </c>
      <c r="J33" s="346">
        <v>45543</v>
      </c>
      <c r="K33">
        <v>430.59</v>
      </c>
      <c r="L33" s="102">
        <f t="shared" si="2"/>
        <v>7.191934279312906E-2</v>
      </c>
      <c r="N33" s="346">
        <v>45543</v>
      </c>
      <c r="O33">
        <v>222.5</v>
      </c>
      <c r="P33" s="102">
        <f t="shared" si="3"/>
        <v>7.6080065211485692E-3</v>
      </c>
      <c r="R33" s="346">
        <v>45543</v>
      </c>
      <c r="S33">
        <v>214.79</v>
      </c>
      <c r="T33" s="102">
        <f t="shared" si="4"/>
        <v>6.99910331772442E-2</v>
      </c>
      <c r="V33" s="346">
        <v>45543</v>
      </c>
      <c r="W33">
        <v>186.49</v>
      </c>
      <c r="X33" s="102">
        <f t="shared" si="5"/>
        <v>8.8103156543555716E-2</v>
      </c>
      <c r="Z33" s="346">
        <v>45543</v>
      </c>
      <c r="AA33" s="348">
        <v>5691</v>
      </c>
      <c r="AB33" s="102">
        <f t="shared" si="6"/>
        <v>3.9072484937009211E-2</v>
      </c>
    </row>
    <row r="34" spans="2:28" x14ac:dyDescent="0.25">
      <c r="B34" s="346">
        <v>45536</v>
      </c>
      <c r="C34">
        <v>152.13</v>
      </c>
      <c r="D34" s="102">
        <f t="shared" si="0"/>
        <v>-7.8614257161892187E-2</v>
      </c>
      <c r="F34" s="346">
        <v>45536</v>
      </c>
      <c r="G34">
        <v>500.27</v>
      </c>
      <c r="H34" s="102">
        <f t="shared" si="1"/>
        <v>-4.0359862653699285E-2</v>
      </c>
      <c r="J34" s="346">
        <v>45536</v>
      </c>
      <c r="K34">
        <v>401.7</v>
      </c>
      <c r="L34" s="102">
        <f t="shared" si="2"/>
        <v>-3.7013952150357188E-2</v>
      </c>
      <c r="N34" s="346">
        <v>45536</v>
      </c>
      <c r="O34">
        <v>220.82</v>
      </c>
      <c r="P34" s="102">
        <f t="shared" si="3"/>
        <v>-3.5720524017467281E-2</v>
      </c>
      <c r="R34" s="346">
        <v>45536</v>
      </c>
      <c r="S34">
        <v>200.74</v>
      </c>
      <c r="T34" s="102">
        <f t="shared" si="4"/>
        <v>-6.8767624795922355E-3</v>
      </c>
      <c r="V34" s="346">
        <v>45536</v>
      </c>
      <c r="W34">
        <v>171.39</v>
      </c>
      <c r="X34" s="102">
        <f t="shared" si="5"/>
        <v>-3.9831932773109369E-2</v>
      </c>
      <c r="Z34" s="346">
        <v>45536</v>
      </c>
      <c r="AA34" s="348">
        <v>5477</v>
      </c>
      <c r="AB34" s="102">
        <f t="shared" si="6"/>
        <v>-4.2900830056793349E-2</v>
      </c>
    </row>
    <row r="35" spans="2:28" x14ac:dyDescent="0.25">
      <c r="B35" s="346">
        <v>45529</v>
      </c>
      <c r="C35">
        <v>165.11</v>
      </c>
      <c r="D35" s="102">
        <f t="shared" si="0"/>
        <v>-1.3856537060263907E-2</v>
      </c>
      <c r="F35" s="346">
        <v>45529</v>
      </c>
      <c r="G35">
        <v>521.30999999999995</v>
      </c>
      <c r="H35" s="102">
        <f t="shared" si="1"/>
        <v>-1.2670454545454679E-2</v>
      </c>
      <c r="J35" s="346">
        <v>45529</v>
      </c>
      <c r="K35">
        <v>417.14</v>
      </c>
      <c r="L35" s="102">
        <f t="shared" si="2"/>
        <v>8.3975143357561954E-4</v>
      </c>
      <c r="N35" s="346">
        <v>45529</v>
      </c>
      <c r="O35">
        <v>229</v>
      </c>
      <c r="P35" s="102">
        <f t="shared" si="3"/>
        <v>9.5221301357784061E-3</v>
      </c>
      <c r="R35" s="346">
        <v>45529</v>
      </c>
      <c r="S35">
        <v>202.13</v>
      </c>
      <c r="T35" s="102">
        <f t="shared" si="4"/>
        <v>3.0749617542070284E-2</v>
      </c>
      <c r="V35" s="346">
        <v>45529</v>
      </c>
      <c r="W35">
        <v>178.5</v>
      </c>
      <c r="X35" s="102">
        <f t="shared" si="5"/>
        <v>8.2467239042025575E-3</v>
      </c>
      <c r="Z35" s="346">
        <v>45529</v>
      </c>
      <c r="AA35" s="348">
        <v>5722.5</v>
      </c>
      <c r="AB35" s="102">
        <f t="shared" si="6"/>
        <v>1.7505470459517891E-3</v>
      </c>
    </row>
    <row r="36" spans="2:28" x14ac:dyDescent="0.25">
      <c r="B36" s="346">
        <v>45522</v>
      </c>
      <c r="C36">
        <v>167.43</v>
      </c>
      <c r="D36" s="102">
        <f t="shared" si="0"/>
        <v>1.6328760471045367E-2</v>
      </c>
      <c r="F36" s="346">
        <v>45522</v>
      </c>
      <c r="G36">
        <v>528</v>
      </c>
      <c r="H36" s="102">
        <f t="shared" si="1"/>
        <v>1.0996928444124698E-3</v>
      </c>
      <c r="J36" s="346">
        <v>45522</v>
      </c>
      <c r="K36">
        <v>416.79</v>
      </c>
      <c r="L36" s="102">
        <f t="shared" si="2"/>
        <v>-4.0146247042799343E-3</v>
      </c>
      <c r="N36" s="346">
        <v>45522</v>
      </c>
      <c r="O36">
        <v>226.84</v>
      </c>
      <c r="P36" s="102">
        <f t="shared" si="3"/>
        <v>3.494802034947897E-3</v>
      </c>
      <c r="R36" s="346">
        <v>45522</v>
      </c>
      <c r="S36">
        <v>196.1</v>
      </c>
      <c r="T36" s="102">
        <f t="shared" si="4"/>
        <v>1.1972339766745721E-2</v>
      </c>
      <c r="V36" s="346">
        <v>45522</v>
      </c>
      <c r="W36">
        <v>177.04</v>
      </c>
      <c r="X36" s="102">
        <f t="shared" si="5"/>
        <v>-1.1295606009265047E-4</v>
      </c>
      <c r="Z36" s="346">
        <v>45522</v>
      </c>
      <c r="AA36" s="348">
        <v>5712.5</v>
      </c>
      <c r="AB36" s="102">
        <f t="shared" si="6"/>
        <v>1.3213905640298007E-2</v>
      </c>
    </row>
    <row r="37" spans="2:28" x14ac:dyDescent="0.25">
      <c r="B37" s="346">
        <v>45515</v>
      </c>
      <c r="C37">
        <v>164.74</v>
      </c>
      <c r="D37" s="102">
        <f t="shared" si="0"/>
        <v>-3.9301046012454321E-3</v>
      </c>
      <c r="F37" s="346">
        <v>45515</v>
      </c>
      <c r="G37">
        <v>527.41999999999996</v>
      </c>
      <c r="H37" s="102">
        <f t="shared" si="1"/>
        <v>1.863761902002814E-2</v>
      </c>
      <c r="J37" s="346">
        <v>45515</v>
      </c>
      <c r="K37">
        <v>418.47</v>
      </c>
      <c r="L37" s="102">
        <f t="shared" si="2"/>
        <v>3.0663514112605483E-2</v>
      </c>
      <c r="N37" s="346">
        <v>45515</v>
      </c>
      <c r="O37">
        <v>226.05</v>
      </c>
      <c r="P37" s="102">
        <f t="shared" si="3"/>
        <v>4.5366259711431711E-2</v>
      </c>
      <c r="R37" s="346">
        <v>45515</v>
      </c>
      <c r="S37">
        <v>193.78</v>
      </c>
      <c r="T37" s="102">
        <f t="shared" si="4"/>
        <v>1.2170279446330756E-2</v>
      </c>
      <c r="V37" s="346">
        <v>45515</v>
      </c>
      <c r="W37">
        <v>177.06</v>
      </c>
      <c r="X37" s="102">
        <f t="shared" si="5"/>
        <v>6.0620582245118015E-2</v>
      </c>
      <c r="Z37" s="346">
        <v>45515</v>
      </c>
      <c r="AA37" s="348">
        <v>5638</v>
      </c>
      <c r="AB37" s="102">
        <f t="shared" si="6"/>
        <v>3.9119015804266688E-2</v>
      </c>
    </row>
    <row r="38" spans="2:28" x14ac:dyDescent="0.25">
      <c r="B38" s="346">
        <v>45508</v>
      </c>
      <c r="C38">
        <v>165.39</v>
      </c>
      <c r="D38" s="102">
        <f t="shared" si="0"/>
        <v>-1.7874109263658067E-2</v>
      </c>
      <c r="F38" s="346">
        <v>45508</v>
      </c>
      <c r="G38">
        <v>517.77</v>
      </c>
      <c r="H38" s="102">
        <f t="shared" si="1"/>
        <v>6.0699799237923457E-2</v>
      </c>
      <c r="J38" s="346">
        <v>45508</v>
      </c>
      <c r="K38">
        <v>406.02</v>
      </c>
      <c r="L38" s="102">
        <f t="shared" si="2"/>
        <v>-6.0466596489511248E-3</v>
      </c>
      <c r="N38" s="346">
        <v>45508</v>
      </c>
      <c r="O38">
        <v>216.24</v>
      </c>
      <c r="P38" s="102">
        <f t="shared" si="3"/>
        <v>-1.6465023196579609E-2</v>
      </c>
      <c r="R38" s="346">
        <v>45508</v>
      </c>
      <c r="S38">
        <v>191.45</v>
      </c>
      <c r="T38" s="102">
        <f t="shared" si="4"/>
        <v>1.2320219966158952E-2</v>
      </c>
      <c r="V38" s="346">
        <v>45508</v>
      </c>
      <c r="W38">
        <v>166.94</v>
      </c>
      <c r="X38" s="102">
        <f t="shared" si="5"/>
        <v>-5.7176891006551767E-3</v>
      </c>
      <c r="Z38" s="346">
        <v>45508</v>
      </c>
      <c r="AA38" s="348">
        <v>5425.75</v>
      </c>
      <c r="AB38" s="102">
        <f t="shared" si="6"/>
        <v>-9.2068314689497388E-4</v>
      </c>
    </row>
    <row r="39" spans="2:28" x14ac:dyDescent="0.25">
      <c r="B39" s="346">
        <v>45501</v>
      </c>
      <c r="C39">
        <v>168.4</v>
      </c>
      <c r="D39" s="102">
        <f t="shared" si="0"/>
        <v>-1.6599478302110615E-3</v>
      </c>
      <c r="F39" s="346">
        <v>45501</v>
      </c>
      <c r="G39">
        <v>488.14</v>
      </c>
      <c r="H39" s="102">
        <f t="shared" si="1"/>
        <v>4.8185527163409958E-2</v>
      </c>
      <c r="J39" s="346">
        <v>45501</v>
      </c>
      <c r="K39">
        <v>408.49</v>
      </c>
      <c r="L39" s="102">
        <f t="shared" si="2"/>
        <v>-3.9457285959508037E-2</v>
      </c>
      <c r="N39" s="346">
        <v>45501</v>
      </c>
      <c r="O39">
        <v>219.86</v>
      </c>
      <c r="P39" s="102">
        <f t="shared" si="3"/>
        <v>8.7171958157459262E-3</v>
      </c>
      <c r="R39" s="346">
        <v>45501</v>
      </c>
      <c r="S39">
        <v>189.12</v>
      </c>
      <c r="T39" s="102">
        <f t="shared" si="4"/>
        <v>-1.3715775749674086E-2</v>
      </c>
      <c r="V39" s="346">
        <v>45501</v>
      </c>
      <c r="W39">
        <v>167.9</v>
      </c>
      <c r="X39" s="102">
        <f t="shared" si="5"/>
        <v>-7.999999999999996E-2</v>
      </c>
      <c r="Z39" s="346">
        <v>45501</v>
      </c>
      <c r="AA39" s="348">
        <v>5430.75</v>
      </c>
      <c r="AB39" s="102">
        <f t="shared" si="6"/>
        <v>-2.3290319679870497E-2</v>
      </c>
    </row>
    <row r="40" spans="2:28" x14ac:dyDescent="0.25">
      <c r="B40" s="346">
        <v>45494</v>
      </c>
      <c r="C40">
        <v>168.68</v>
      </c>
      <c r="D40" s="102">
        <f t="shared" si="0"/>
        <v>-5.9702324544288921E-2</v>
      </c>
      <c r="F40" s="346">
        <v>45494</v>
      </c>
      <c r="G40">
        <v>465.7</v>
      </c>
      <c r="H40" s="102">
        <f t="shared" si="1"/>
        <v>-2.325971601753396E-2</v>
      </c>
      <c r="J40" s="346">
        <v>45494</v>
      </c>
      <c r="K40">
        <v>425.27</v>
      </c>
      <c r="L40" s="102">
        <f t="shared" si="2"/>
        <v>-2.7087003271487831E-2</v>
      </c>
      <c r="N40" s="346">
        <v>45494</v>
      </c>
      <c r="O40">
        <v>217.96</v>
      </c>
      <c r="P40" s="102">
        <f t="shared" si="3"/>
        <v>-2.8309036601132376E-2</v>
      </c>
      <c r="R40" s="346">
        <v>45494</v>
      </c>
      <c r="S40">
        <v>191.75</v>
      </c>
      <c r="T40" s="102">
        <f t="shared" si="4"/>
        <v>4.6384720327421469E-2</v>
      </c>
      <c r="V40" s="346">
        <v>45494</v>
      </c>
      <c r="W40">
        <v>182.5</v>
      </c>
      <c r="X40" s="102">
        <f t="shared" si="5"/>
        <v>-3.4401791077376398E-3</v>
      </c>
      <c r="Z40" s="346">
        <v>45494</v>
      </c>
      <c r="AA40" s="348">
        <v>5560.25</v>
      </c>
      <c r="AB40" s="102">
        <f t="shared" si="6"/>
        <v>-9.8829185772159045E-3</v>
      </c>
    </row>
    <row r="41" spans="2:28" x14ac:dyDescent="0.25">
      <c r="B41" s="346">
        <v>45487</v>
      </c>
      <c r="C41">
        <v>179.39</v>
      </c>
      <c r="D41" s="102">
        <f t="shared" si="0"/>
        <v>-3.9565263946889417E-2</v>
      </c>
      <c r="F41" s="346">
        <v>45487</v>
      </c>
      <c r="G41">
        <v>476.79</v>
      </c>
      <c r="H41" s="102">
        <f t="shared" si="1"/>
        <v>-4.4260027662517243E-2</v>
      </c>
      <c r="J41" s="346">
        <v>45487</v>
      </c>
      <c r="K41">
        <v>437.11</v>
      </c>
      <c r="L41" s="102">
        <f t="shared" si="2"/>
        <v>-3.6247381766067677E-2</v>
      </c>
      <c r="N41" s="346">
        <v>45487</v>
      </c>
      <c r="O41">
        <v>224.31</v>
      </c>
      <c r="P41" s="102">
        <f t="shared" si="3"/>
        <v>-2.7023510019953068E-2</v>
      </c>
      <c r="R41" s="346">
        <v>45487</v>
      </c>
      <c r="S41">
        <v>183.25</v>
      </c>
      <c r="T41" s="102">
        <f t="shared" si="4"/>
        <v>2.2972159929988134E-3</v>
      </c>
      <c r="V41" s="346">
        <v>45487</v>
      </c>
      <c r="W41">
        <v>183.13</v>
      </c>
      <c r="X41" s="102">
        <f t="shared" si="5"/>
        <v>-5.8409172708108414E-2</v>
      </c>
      <c r="Z41" s="346">
        <v>45487</v>
      </c>
      <c r="AA41" s="348">
        <v>5615.75</v>
      </c>
      <c r="AB41" s="102">
        <f t="shared" si="6"/>
        <v>-1.9639505957316783E-2</v>
      </c>
    </row>
    <row r="42" spans="2:28" x14ac:dyDescent="0.25">
      <c r="B42" s="346">
        <v>45480</v>
      </c>
      <c r="C42">
        <v>186.78</v>
      </c>
      <c r="D42" s="102">
        <f t="shared" si="0"/>
        <v>-2.6984788497603662E-2</v>
      </c>
      <c r="F42" s="346">
        <v>45480</v>
      </c>
      <c r="G42">
        <v>498.87</v>
      </c>
      <c r="H42" s="102">
        <f t="shared" si="1"/>
        <v>-7.6012668778129622E-2</v>
      </c>
      <c r="J42" s="346">
        <v>45480</v>
      </c>
      <c r="K42">
        <v>453.55</v>
      </c>
      <c r="L42" s="102">
        <f t="shared" si="2"/>
        <v>-2.9964068782616149E-2</v>
      </c>
      <c r="N42" s="346">
        <v>45480</v>
      </c>
      <c r="O42">
        <v>230.54</v>
      </c>
      <c r="P42" s="102">
        <f t="shared" si="3"/>
        <v>1.8556154457895158E-2</v>
      </c>
      <c r="R42" s="346">
        <v>45480</v>
      </c>
      <c r="S42">
        <v>182.83</v>
      </c>
      <c r="T42" s="102">
        <f t="shared" si="4"/>
        <v>3.8688785365299516E-2</v>
      </c>
      <c r="V42" s="346">
        <v>45480</v>
      </c>
      <c r="W42">
        <v>194.49</v>
      </c>
      <c r="X42" s="102">
        <f t="shared" si="5"/>
        <v>-2.7549999999999963E-2</v>
      </c>
      <c r="Z42" s="346">
        <v>45480</v>
      </c>
      <c r="AA42" s="348">
        <v>5728.25</v>
      </c>
      <c r="AB42" s="102">
        <f t="shared" si="6"/>
        <v>-2.9589661024324032E-3</v>
      </c>
    </row>
    <row r="43" spans="2:28" x14ac:dyDescent="0.25">
      <c r="B43" s="346">
        <v>45473</v>
      </c>
      <c r="C43">
        <v>191.96</v>
      </c>
      <c r="D43" s="102">
        <f t="shared" si="0"/>
        <v>4.65598080907208E-2</v>
      </c>
      <c r="F43" s="346">
        <v>45473</v>
      </c>
      <c r="G43">
        <v>539.91</v>
      </c>
      <c r="H43" s="102">
        <f t="shared" si="1"/>
        <v>7.078259489905192E-2</v>
      </c>
      <c r="J43" s="346">
        <v>45473</v>
      </c>
      <c r="K43">
        <v>467.56</v>
      </c>
      <c r="L43" s="102">
        <f t="shared" si="2"/>
        <v>4.6112540552634584E-2</v>
      </c>
      <c r="N43" s="346">
        <v>45473</v>
      </c>
      <c r="O43">
        <v>226.34</v>
      </c>
      <c r="P43" s="102">
        <f t="shared" si="3"/>
        <v>7.463678662994977E-2</v>
      </c>
      <c r="R43" s="346">
        <v>45473</v>
      </c>
      <c r="S43">
        <v>176.02</v>
      </c>
      <c r="T43" s="102">
        <f t="shared" si="4"/>
        <v>1.7750795027464683E-2</v>
      </c>
      <c r="V43" s="346">
        <v>45473</v>
      </c>
      <c r="W43">
        <v>200</v>
      </c>
      <c r="X43" s="102">
        <f t="shared" si="5"/>
        <v>3.4928848641655907E-2</v>
      </c>
      <c r="Z43" s="346">
        <v>45473</v>
      </c>
      <c r="AA43" s="348">
        <v>5745.25</v>
      </c>
      <c r="AB43" s="102">
        <f t="shared" si="6"/>
        <v>1.7714007351313121E-2</v>
      </c>
    </row>
    <row r="44" spans="2:28" x14ac:dyDescent="0.25">
      <c r="B44" s="346">
        <v>45466</v>
      </c>
      <c r="C44">
        <v>183.42</v>
      </c>
      <c r="D44" s="102">
        <f t="shared" si="0"/>
        <v>1.7530234106290843E-2</v>
      </c>
      <c r="F44" s="346">
        <v>45466</v>
      </c>
      <c r="G44">
        <v>504.22</v>
      </c>
      <c r="H44" s="102">
        <f t="shared" si="1"/>
        <v>1.9079186709244578E-2</v>
      </c>
      <c r="J44" s="346">
        <v>45466</v>
      </c>
      <c r="K44">
        <v>446.95</v>
      </c>
      <c r="L44" s="102">
        <f t="shared" si="2"/>
        <v>-6.2919649606474337E-3</v>
      </c>
      <c r="N44" s="346">
        <v>45466</v>
      </c>
      <c r="O44">
        <v>210.62</v>
      </c>
      <c r="P44" s="102">
        <f t="shared" si="3"/>
        <v>1.5085064340450094E-2</v>
      </c>
      <c r="R44" s="346">
        <v>45466</v>
      </c>
      <c r="S44">
        <v>172.95</v>
      </c>
      <c r="T44" s="102">
        <f t="shared" si="4"/>
        <v>2.8412385480689473E-3</v>
      </c>
      <c r="V44" s="346">
        <v>45466</v>
      </c>
      <c r="W44">
        <v>193.25</v>
      </c>
      <c r="X44" s="102">
        <f t="shared" si="5"/>
        <v>2.2054156970594319E-2</v>
      </c>
      <c r="Z44" s="346">
        <v>45466</v>
      </c>
      <c r="AA44" s="348">
        <v>5645.25</v>
      </c>
      <c r="AB44" s="102">
        <f t="shared" si="6"/>
        <v>-2.2093588440634804E-3</v>
      </c>
    </row>
    <row r="45" spans="2:28" x14ac:dyDescent="0.25">
      <c r="B45" s="346">
        <v>45459</v>
      </c>
      <c r="C45">
        <v>180.26</v>
      </c>
      <c r="D45" s="102">
        <f t="shared" si="0"/>
        <v>1.059595223411991E-2</v>
      </c>
      <c r="F45" s="346">
        <v>45459</v>
      </c>
      <c r="G45">
        <v>494.78</v>
      </c>
      <c r="H45" s="102">
        <f t="shared" si="1"/>
        <v>-1.8605204696921729E-2</v>
      </c>
      <c r="J45" s="346">
        <v>45459</v>
      </c>
      <c r="K45">
        <v>449.78</v>
      </c>
      <c r="L45" s="102">
        <f t="shared" si="2"/>
        <v>1.6291208170458926E-2</v>
      </c>
      <c r="N45" s="346">
        <v>45459</v>
      </c>
      <c r="O45">
        <v>207.49</v>
      </c>
      <c r="P45" s="102">
        <f t="shared" si="3"/>
        <v>-2.3530519083250989E-2</v>
      </c>
      <c r="R45" s="346">
        <v>45459</v>
      </c>
      <c r="S45">
        <v>172.46</v>
      </c>
      <c r="T45" s="102">
        <f t="shared" si="4"/>
        <v>1.9206902665327208E-2</v>
      </c>
      <c r="V45" s="346">
        <v>45459</v>
      </c>
      <c r="W45">
        <v>189.08</v>
      </c>
      <c r="X45" s="102">
        <f t="shared" si="5"/>
        <v>2.9511053032778012E-2</v>
      </c>
      <c r="Z45" s="346">
        <v>45459</v>
      </c>
      <c r="AA45" s="348">
        <v>5657.75</v>
      </c>
      <c r="AB45" s="102">
        <f t="shared" si="6"/>
        <v>6.269453090262278E-3</v>
      </c>
    </row>
    <row r="46" spans="2:28" x14ac:dyDescent="0.25">
      <c r="B46" s="346">
        <v>45452</v>
      </c>
      <c r="C46">
        <v>178.37</v>
      </c>
      <c r="D46" s="102">
        <f t="shared" si="0"/>
        <v>1.375390736004567E-2</v>
      </c>
      <c r="F46" s="346">
        <v>45452</v>
      </c>
      <c r="G46">
        <v>504.16</v>
      </c>
      <c r="H46" s="102">
        <f t="shared" si="1"/>
        <v>2.2719896137617823E-2</v>
      </c>
      <c r="J46" s="346">
        <v>45452</v>
      </c>
      <c r="K46">
        <v>442.57</v>
      </c>
      <c r="L46" s="102">
        <f t="shared" si="2"/>
        <v>4.4166568361448499E-2</v>
      </c>
      <c r="N46" s="346">
        <v>45452</v>
      </c>
      <c r="O46">
        <v>212.49</v>
      </c>
      <c r="P46" s="102">
        <f t="shared" si="3"/>
        <v>7.9232058509827841E-2</v>
      </c>
      <c r="R46" s="346">
        <v>45452</v>
      </c>
      <c r="S46">
        <v>169.21</v>
      </c>
      <c r="T46" s="102">
        <f t="shared" si="4"/>
        <v>-4.7056055526144558E-3</v>
      </c>
      <c r="V46" s="346">
        <v>45452</v>
      </c>
      <c r="W46">
        <v>183.66</v>
      </c>
      <c r="X46" s="102">
        <f t="shared" si="5"/>
        <v>-3.4725990233316351E-3</v>
      </c>
      <c r="Z46" s="346">
        <v>45452</v>
      </c>
      <c r="AA46" s="348">
        <v>5622.5</v>
      </c>
      <c r="AB46" s="102">
        <f t="shared" si="6"/>
        <v>1.4662756598240456E-2</v>
      </c>
    </row>
    <row r="47" spans="2:28" x14ac:dyDescent="0.25">
      <c r="B47" s="346">
        <v>45445</v>
      </c>
      <c r="C47">
        <v>175.95</v>
      </c>
      <c r="D47" s="102">
        <f t="shared" si="0"/>
        <v>1.1439411358932894E-2</v>
      </c>
      <c r="F47" s="346">
        <v>45445</v>
      </c>
      <c r="G47">
        <v>492.96</v>
      </c>
      <c r="H47" s="102">
        <f t="shared" si="1"/>
        <v>5.597326649958223E-2</v>
      </c>
      <c r="J47" s="346">
        <v>45445</v>
      </c>
      <c r="K47">
        <v>423.85</v>
      </c>
      <c r="L47" s="102">
        <f t="shared" si="2"/>
        <v>2.100546816659854E-2</v>
      </c>
      <c r="N47" s="346">
        <v>45445</v>
      </c>
      <c r="O47">
        <v>196.89</v>
      </c>
      <c r="P47" s="102">
        <f t="shared" si="3"/>
        <v>2.4135240572171535E-2</v>
      </c>
      <c r="R47" s="346">
        <v>45445</v>
      </c>
      <c r="S47">
        <v>170.01</v>
      </c>
      <c r="T47" s="102">
        <f t="shared" si="4"/>
        <v>1.8939166916391859E-2</v>
      </c>
      <c r="V47" s="346">
        <v>45445</v>
      </c>
      <c r="W47">
        <v>184.3</v>
      </c>
      <c r="X47" s="102">
        <f t="shared" si="5"/>
        <v>4.454772160507825E-2</v>
      </c>
      <c r="Z47" s="346">
        <v>45445</v>
      </c>
      <c r="AA47" s="348">
        <v>5541.25</v>
      </c>
      <c r="AB47" s="102">
        <f t="shared" si="6"/>
        <v>1.1823244773121466E-2</v>
      </c>
    </row>
    <row r="48" spans="2:28" x14ac:dyDescent="0.25">
      <c r="B48" s="346">
        <v>45438</v>
      </c>
      <c r="C48">
        <v>173.96</v>
      </c>
      <c r="D48" s="102">
        <f t="shared" si="0"/>
        <v>-1.3440707763851867E-2</v>
      </c>
      <c r="F48" s="346">
        <v>45438</v>
      </c>
      <c r="G48">
        <v>466.83</v>
      </c>
      <c r="H48" s="102">
        <f t="shared" si="1"/>
        <v>-2.3817489858224294E-2</v>
      </c>
      <c r="J48" s="346">
        <v>45438</v>
      </c>
      <c r="K48">
        <v>415.13</v>
      </c>
      <c r="L48" s="102">
        <f t="shared" si="2"/>
        <v>-3.494048726055432E-2</v>
      </c>
      <c r="N48" s="346">
        <v>45438</v>
      </c>
      <c r="O48">
        <v>192.25</v>
      </c>
      <c r="P48" s="102">
        <f t="shared" si="3"/>
        <v>1.1948626171175869E-2</v>
      </c>
      <c r="R48" s="346">
        <v>45438</v>
      </c>
      <c r="S48">
        <v>166.85</v>
      </c>
      <c r="T48" s="102">
        <f t="shared" si="4"/>
        <v>-2.3640938615483553E-2</v>
      </c>
      <c r="V48" s="346">
        <v>45438</v>
      </c>
      <c r="W48">
        <v>176.44</v>
      </c>
      <c r="X48" s="102">
        <f t="shared" si="5"/>
        <v>-2.3845089903181238E-2</v>
      </c>
      <c r="Z48" s="346">
        <v>45438</v>
      </c>
      <c r="AA48" s="348">
        <v>5476.5</v>
      </c>
      <c r="AB48" s="102">
        <f t="shared" si="6"/>
        <v>-4.9059689288634134E-3</v>
      </c>
    </row>
    <row r="49" spans="2:28" x14ac:dyDescent="0.25">
      <c r="B49" s="346">
        <v>45431</v>
      </c>
      <c r="C49">
        <v>176.33</v>
      </c>
      <c r="D49" s="102">
        <f t="shared" si="0"/>
        <v>-5.4148570139318508E-3</v>
      </c>
      <c r="F49" s="346">
        <v>45431</v>
      </c>
      <c r="G49">
        <v>478.22</v>
      </c>
      <c r="H49" s="102">
        <f t="shared" si="1"/>
        <v>1.3371193659807989E-2</v>
      </c>
      <c r="J49" s="346">
        <v>45431</v>
      </c>
      <c r="K49">
        <v>430.16</v>
      </c>
      <c r="L49" s="102">
        <f t="shared" si="2"/>
        <v>2.3678636872040304E-2</v>
      </c>
      <c r="N49" s="346">
        <v>45431</v>
      </c>
      <c r="O49">
        <v>189.98</v>
      </c>
      <c r="P49" s="102">
        <f t="shared" si="3"/>
        <v>5.7934376152091183E-4</v>
      </c>
      <c r="R49" s="346">
        <v>45431</v>
      </c>
      <c r="S49">
        <v>170.89</v>
      </c>
      <c r="T49" s="102">
        <f t="shared" si="4"/>
        <v>1.1003963793409399E-2</v>
      </c>
      <c r="V49" s="346">
        <v>45431</v>
      </c>
      <c r="W49">
        <v>180.75</v>
      </c>
      <c r="X49" s="102">
        <f t="shared" si="5"/>
        <v>-2.1386031402273908E-2</v>
      </c>
      <c r="Z49" s="346">
        <v>45431</v>
      </c>
      <c r="AA49" s="348">
        <v>5503.5</v>
      </c>
      <c r="AB49" s="102">
        <f t="shared" si="6"/>
        <v>-4.08663669799747E-4</v>
      </c>
    </row>
    <row r="50" spans="2:28" x14ac:dyDescent="0.25">
      <c r="B50" s="346">
        <v>45424</v>
      </c>
      <c r="C50">
        <v>177.29</v>
      </c>
      <c r="D50" s="102">
        <f t="shared" si="0"/>
        <v>4.1106347994597447E-2</v>
      </c>
      <c r="F50" s="346">
        <v>45424</v>
      </c>
      <c r="G50">
        <v>471.91</v>
      </c>
      <c r="H50" s="102">
        <f t="shared" si="1"/>
        <v>-9.0088198236034644E-3</v>
      </c>
      <c r="J50" s="346">
        <v>45424</v>
      </c>
      <c r="K50">
        <v>420.21</v>
      </c>
      <c r="L50" s="102">
        <f t="shared" si="2"/>
        <v>1.318898587066597E-2</v>
      </c>
      <c r="N50" s="346">
        <v>45424</v>
      </c>
      <c r="O50">
        <v>189.87</v>
      </c>
      <c r="P50" s="102">
        <f t="shared" si="3"/>
        <v>3.7257579896203152E-2</v>
      </c>
      <c r="R50" s="346">
        <v>45424</v>
      </c>
      <c r="S50">
        <v>169.03</v>
      </c>
      <c r="T50" s="102">
        <f t="shared" si="4"/>
        <v>1.124738259048752E-2</v>
      </c>
      <c r="V50" s="346">
        <v>45424</v>
      </c>
      <c r="W50">
        <v>184.7</v>
      </c>
      <c r="X50" s="102">
        <f t="shared" si="5"/>
        <v>-1.4828248346490325E-2</v>
      </c>
      <c r="Z50" s="346">
        <v>45424</v>
      </c>
      <c r="AA50" s="348">
        <v>5505.75</v>
      </c>
      <c r="AB50" s="102">
        <f t="shared" si="6"/>
        <v>1.586789058535909E-2</v>
      </c>
    </row>
    <row r="51" spans="2:28" x14ac:dyDescent="0.25">
      <c r="B51" s="346">
        <v>45417</v>
      </c>
      <c r="C51">
        <v>170.29</v>
      </c>
      <c r="D51" s="102">
        <f t="shared" si="0"/>
        <v>7.6927628853777907E-3</v>
      </c>
      <c r="F51" s="346">
        <v>45417</v>
      </c>
      <c r="G51">
        <v>476.2</v>
      </c>
      <c r="H51" s="102">
        <f t="shared" si="1"/>
        <v>5.3633064872997682E-2</v>
      </c>
      <c r="J51" s="346">
        <v>45417</v>
      </c>
      <c r="K51">
        <v>414.74</v>
      </c>
      <c r="L51" s="102">
        <f t="shared" si="2"/>
        <v>1.9869178183248959E-2</v>
      </c>
      <c r="N51" s="346">
        <v>45417</v>
      </c>
      <c r="O51">
        <v>183.05</v>
      </c>
      <c r="P51" s="102">
        <f t="shared" si="3"/>
        <v>-1.7995419347801578E-3</v>
      </c>
      <c r="R51" s="346">
        <v>45417</v>
      </c>
      <c r="S51">
        <v>167.15</v>
      </c>
      <c r="T51" s="102">
        <f t="shared" si="4"/>
        <v>8.6898799106873703E-3</v>
      </c>
      <c r="V51" s="346">
        <v>45417</v>
      </c>
      <c r="W51">
        <v>187.48</v>
      </c>
      <c r="X51" s="102">
        <f t="shared" si="5"/>
        <v>6.82025669942532E-3</v>
      </c>
      <c r="Z51" s="346">
        <v>45417</v>
      </c>
      <c r="AA51" s="348">
        <v>5419.75</v>
      </c>
      <c r="AB51" s="102">
        <f t="shared" si="6"/>
        <v>1.8510688278130072E-2</v>
      </c>
    </row>
    <row r="52" spans="2:28" x14ac:dyDescent="0.25">
      <c r="B52" s="346">
        <v>45410</v>
      </c>
      <c r="C52">
        <v>168.99</v>
      </c>
      <c r="D52" s="102">
        <f t="shared" si="0"/>
        <v>-2.7059704070470314E-2</v>
      </c>
      <c r="F52" s="346">
        <v>45410</v>
      </c>
      <c r="G52">
        <v>451.96</v>
      </c>
      <c r="H52" s="102">
        <f t="shared" si="1"/>
        <v>1.9558302691240481E-2</v>
      </c>
      <c r="J52" s="346">
        <v>45410</v>
      </c>
      <c r="K52">
        <v>406.66</v>
      </c>
      <c r="L52" s="102">
        <f t="shared" si="2"/>
        <v>8.367788934831033E-4</v>
      </c>
      <c r="N52" s="346">
        <v>45410</v>
      </c>
      <c r="O52">
        <v>183.38</v>
      </c>
      <c r="P52" s="102">
        <f t="shared" si="3"/>
        <v>8.3165977554636727E-2</v>
      </c>
      <c r="R52" s="346">
        <v>45410</v>
      </c>
      <c r="S52">
        <v>165.71</v>
      </c>
      <c r="T52" s="102">
        <f t="shared" si="4"/>
        <v>-8.4963800634235698E-3</v>
      </c>
      <c r="V52" s="346">
        <v>45410</v>
      </c>
      <c r="W52">
        <v>186.21</v>
      </c>
      <c r="X52" s="102">
        <f t="shared" si="5"/>
        <v>3.6688564747801022E-2</v>
      </c>
      <c r="Z52" s="346">
        <v>45410</v>
      </c>
      <c r="AA52" s="348">
        <v>5321.25</v>
      </c>
      <c r="AB52" s="102">
        <f t="shared" si="6"/>
        <v>3.8200339558573937E-3</v>
      </c>
    </row>
    <row r="53" spans="2:28" x14ac:dyDescent="0.25">
      <c r="B53" s="346">
        <v>45403</v>
      </c>
      <c r="C53">
        <v>173.69</v>
      </c>
      <c r="D53" s="102">
        <f t="shared" si="0"/>
        <v>0.11539943488312354</v>
      </c>
      <c r="F53" s="346">
        <v>45403</v>
      </c>
      <c r="G53">
        <v>443.29</v>
      </c>
      <c r="H53" s="102">
        <f t="shared" si="1"/>
        <v>-7.8533269586546606E-2</v>
      </c>
      <c r="J53" s="346">
        <v>45403</v>
      </c>
      <c r="K53">
        <v>406.32</v>
      </c>
      <c r="L53" s="102">
        <f t="shared" si="2"/>
        <v>1.8039687312086494E-2</v>
      </c>
      <c r="N53" s="346">
        <v>45403</v>
      </c>
      <c r="O53">
        <v>169.3</v>
      </c>
      <c r="P53" s="102">
        <f t="shared" si="3"/>
        <v>2.6060606060606117E-2</v>
      </c>
      <c r="R53" s="346">
        <v>45403</v>
      </c>
      <c r="S53">
        <v>167.13</v>
      </c>
      <c r="T53" s="102">
        <f t="shared" si="4"/>
        <v>-7.9579248815949022E-2</v>
      </c>
      <c r="V53" s="346">
        <v>45403</v>
      </c>
      <c r="W53">
        <v>179.62</v>
      </c>
      <c r="X53" s="102">
        <f t="shared" si="5"/>
        <v>2.8574700795968688E-2</v>
      </c>
      <c r="Z53" s="346">
        <v>45403</v>
      </c>
      <c r="AA53" s="348">
        <v>5301</v>
      </c>
      <c r="AB53" s="102">
        <f t="shared" si="6"/>
        <v>2.5586457073760505E-2</v>
      </c>
    </row>
    <row r="54" spans="2:28" x14ac:dyDescent="0.25">
      <c r="B54" s="346">
        <v>45396</v>
      </c>
      <c r="C54">
        <v>155.72</v>
      </c>
      <c r="D54" s="102">
        <f t="shared" si="0"/>
        <v>-2.1797851623845732E-2</v>
      </c>
      <c r="F54" s="346">
        <v>45396</v>
      </c>
      <c r="G54">
        <v>481.07</v>
      </c>
      <c r="H54" s="102">
        <f t="shared" si="1"/>
        <v>-6.0226606759132606E-2</v>
      </c>
      <c r="J54" s="346">
        <v>45396</v>
      </c>
      <c r="K54">
        <v>399.12</v>
      </c>
      <c r="L54" s="102">
        <f t="shared" si="2"/>
        <v>-5.3993837402227962E-2</v>
      </c>
      <c r="N54" s="346">
        <v>45396</v>
      </c>
      <c r="O54">
        <v>165</v>
      </c>
      <c r="P54" s="102">
        <f t="shared" si="3"/>
        <v>-6.5420560747663559E-2</v>
      </c>
      <c r="R54" s="346">
        <v>45396</v>
      </c>
      <c r="S54">
        <v>181.58</v>
      </c>
      <c r="T54" s="102">
        <f t="shared" si="4"/>
        <v>-3.7855928018872831E-3</v>
      </c>
      <c r="V54" s="346">
        <v>45396</v>
      </c>
      <c r="W54">
        <v>174.63</v>
      </c>
      <c r="X54" s="102">
        <f t="shared" si="5"/>
        <v>-6.1784774082630389E-2</v>
      </c>
      <c r="Z54" s="346">
        <v>45396</v>
      </c>
      <c r="AA54" s="348">
        <v>5168.75</v>
      </c>
      <c r="AB54" s="102">
        <f t="shared" si="6"/>
        <v>-3.1298317949679078E-2</v>
      </c>
    </row>
    <row r="55" spans="2:28" x14ac:dyDescent="0.25">
      <c r="B55" s="346">
        <v>45389</v>
      </c>
      <c r="C55">
        <v>159.19</v>
      </c>
      <c r="D55" s="102">
        <f t="shared" si="0"/>
        <v>3.4104196440171597E-2</v>
      </c>
      <c r="F55" s="346">
        <v>45389</v>
      </c>
      <c r="G55">
        <v>511.9</v>
      </c>
      <c r="H55" s="102">
        <f t="shared" si="1"/>
        <v>-2.927902302120089E-2</v>
      </c>
      <c r="J55" s="346">
        <v>45389</v>
      </c>
      <c r="K55">
        <v>421.9</v>
      </c>
      <c r="L55" s="102">
        <f t="shared" si="2"/>
        <v>-8.5072382026696314E-3</v>
      </c>
      <c r="N55" s="346">
        <v>45389</v>
      </c>
      <c r="O55">
        <v>176.55</v>
      </c>
      <c r="P55" s="102">
        <f t="shared" si="3"/>
        <v>4.1101544993513484E-2</v>
      </c>
      <c r="R55" s="346">
        <v>45389</v>
      </c>
      <c r="S55">
        <v>182.27</v>
      </c>
      <c r="T55" s="102">
        <f t="shared" si="4"/>
        <v>-3.6322300941101671E-2</v>
      </c>
      <c r="V55" s="346">
        <v>45389</v>
      </c>
      <c r="W55">
        <v>186.13</v>
      </c>
      <c r="X55" s="102">
        <f t="shared" si="5"/>
        <v>5.7275625439023869E-3</v>
      </c>
      <c r="Z55" s="346">
        <v>45389</v>
      </c>
      <c r="AA55" s="348">
        <v>5335.75</v>
      </c>
      <c r="AB55" s="102">
        <f t="shared" si="6"/>
        <v>-1.5317185697808489E-2</v>
      </c>
    </row>
    <row r="56" spans="2:28" x14ac:dyDescent="0.25">
      <c r="B56" s="346">
        <v>45382</v>
      </c>
      <c r="C56">
        <v>153.94</v>
      </c>
      <c r="D56" s="102">
        <f t="shared" si="0"/>
        <v>1.1033758045448705E-2</v>
      </c>
      <c r="F56" s="346">
        <v>45382</v>
      </c>
      <c r="G56">
        <v>527.34</v>
      </c>
      <c r="H56" s="102">
        <f t="shared" si="1"/>
        <v>8.6000247127147045E-2</v>
      </c>
      <c r="J56" s="346">
        <v>45382</v>
      </c>
      <c r="K56">
        <v>425.52</v>
      </c>
      <c r="L56" s="102">
        <f t="shared" si="2"/>
        <v>1.1409013120365019E-2</v>
      </c>
      <c r="N56" s="346">
        <v>45382</v>
      </c>
      <c r="O56">
        <v>169.58</v>
      </c>
      <c r="P56" s="102">
        <f t="shared" si="3"/>
        <v>-1.1080009330533991E-2</v>
      </c>
      <c r="R56" s="346">
        <v>45382</v>
      </c>
      <c r="S56">
        <v>189.14</v>
      </c>
      <c r="T56" s="102">
        <f t="shared" si="4"/>
        <v>-9.5307917888564075E-3</v>
      </c>
      <c r="V56" s="346">
        <v>45382</v>
      </c>
      <c r="W56">
        <v>185.07</v>
      </c>
      <c r="X56" s="102">
        <f t="shared" si="5"/>
        <v>2.6000665262224221E-2</v>
      </c>
      <c r="Z56" s="346">
        <v>45382</v>
      </c>
      <c r="AA56" s="348">
        <v>5418.75</v>
      </c>
      <c r="AB56" s="102">
        <f t="shared" si="6"/>
        <v>-1.0273972602739767E-2</v>
      </c>
    </row>
    <row r="57" spans="2:28" x14ac:dyDescent="0.25">
      <c r="B57" s="346">
        <v>45375</v>
      </c>
      <c r="C57">
        <v>152.26</v>
      </c>
      <c r="D57" s="102">
        <f t="shared" si="0"/>
        <v>3.2285695460234631E-3</v>
      </c>
      <c r="F57" s="346">
        <v>45375</v>
      </c>
      <c r="G57">
        <v>485.58</v>
      </c>
      <c r="H57" s="102">
        <f t="shared" si="1"/>
        <v>-4.7097609796302842E-2</v>
      </c>
      <c r="J57" s="346">
        <v>45375</v>
      </c>
      <c r="K57">
        <v>420.72</v>
      </c>
      <c r="L57" s="102">
        <f t="shared" si="2"/>
        <v>-1.8705975649577766E-2</v>
      </c>
      <c r="N57" s="346">
        <v>45375</v>
      </c>
      <c r="O57">
        <v>171.48</v>
      </c>
      <c r="P57" s="102">
        <f t="shared" si="3"/>
        <v>-4.6436034362665746E-3</v>
      </c>
      <c r="R57" s="346">
        <v>45375</v>
      </c>
      <c r="S57">
        <v>190.96</v>
      </c>
      <c r="T57" s="102">
        <f t="shared" si="4"/>
        <v>6.2879899392154215E-4</v>
      </c>
      <c r="V57" s="346">
        <v>45375</v>
      </c>
      <c r="W57">
        <v>180.38</v>
      </c>
      <c r="X57" s="102">
        <f t="shared" si="5"/>
        <v>8.4418851679990414E-3</v>
      </c>
      <c r="Z57" s="346">
        <v>45375</v>
      </c>
      <c r="AA57" s="348">
        <v>5475</v>
      </c>
      <c r="AB57" s="102">
        <f t="shared" si="6"/>
        <v>3.4364261168384758E-3</v>
      </c>
    </row>
    <row r="58" spans="2:28" x14ac:dyDescent="0.25">
      <c r="B58" s="346">
        <v>45368</v>
      </c>
      <c r="C58">
        <v>151.77000000000001</v>
      </c>
      <c r="D58" s="102">
        <f t="shared" si="0"/>
        <v>6.7524794260392706E-2</v>
      </c>
      <c r="F58" s="346">
        <v>45368</v>
      </c>
      <c r="G58">
        <v>509.58</v>
      </c>
      <c r="H58" s="102">
        <f t="shared" si="1"/>
        <v>5.2633753356744473E-2</v>
      </c>
      <c r="J58" s="346">
        <v>45368</v>
      </c>
      <c r="K58">
        <v>428.74</v>
      </c>
      <c r="L58" s="102">
        <f t="shared" si="2"/>
        <v>2.9585514624657749E-2</v>
      </c>
      <c r="N58" s="346">
        <v>45368</v>
      </c>
      <c r="O58">
        <v>172.28</v>
      </c>
      <c r="P58" s="102">
        <f t="shared" si="3"/>
        <v>-1.9696443054108004E-3</v>
      </c>
      <c r="R58" s="346">
        <v>45368</v>
      </c>
      <c r="S58">
        <v>190.84</v>
      </c>
      <c r="T58" s="102">
        <f t="shared" si="4"/>
        <v>-1.2037473177368696E-3</v>
      </c>
      <c r="V58" s="346">
        <v>45368</v>
      </c>
      <c r="W58">
        <v>178.87</v>
      </c>
      <c r="X58" s="102">
        <f t="shared" si="5"/>
        <v>2.5513129228299514E-2</v>
      </c>
      <c r="Z58" s="346">
        <v>45368</v>
      </c>
      <c r="AA58" s="348">
        <v>5456.25</v>
      </c>
      <c r="AB58" s="102">
        <f t="shared" si="6"/>
        <v>2.1100402358005033E-2</v>
      </c>
    </row>
    <row r="59" spans="2:28" x14ac:dyDescent="0.25">
      <c r="B59" s="346">
        <v>45361</v>
      </c>
      <c r="C59">
        <v>142.16999999999999</v>
      </c>
      <c r="D59" s="102">
        <f t="shared" si="0"/>
        <v>4.3143297380585421E-2</v>
      </c>
      <c r="F59" s="346">
        <v>45361</v>
      </c>
      <c r="G59">
        <v>484.1</v>
      </c>
      <c r="H59" s="102">
        <f t="shared" si="1"/>
        <v>-4.3186085581579103E-2</v>
      </c>
      <c r="J59" s="346">
        <v>45361</v>
      </c>
      <c r="K59">
        <v>416.42</v>
      </c>
      <c r="L59" s="102">
        <f t="shared" si="2"/>
        <v>2.5109546551129958E-2</v>
      </c>
      <c r="N59" s="346">
        <v>45361</v>
      </c>
      <c r="O59">
        <v>172.62</v>
      </c>
      <c r="P59" s="102">
        <f t="shared" si="3"/>
        <v>1.1070110701107083E-2</v>
      </c>
      <c r="R59" s="346">
        <v>45361</v>
      </c>
      <c r="S59">
        <v>191.07</v>
      </c>
      <c r="T59" s="102">
        <f t="shared" si="4"/>
        <v>-2.4904312324572575E-2</v>
      </c>
      <c r="V59" s="346">
        <v>45361</v>
      </c>
      <c r="W59">
        <v>174.42</v>
      </c>
      <c r="X59" s="102">
        <f t="shared" si="5"/>
        <v>-5.3036783575706181E-3</v>
      </c>
      <c r="Z59" s="346">
        <v>45361</v>
      </c>
      <c r="AA59" s="348">
        <v>5343.5</v>
      </c>
      <c r="AB59" s="102">
        <f t="shared" si="6"/>
        <v>-1.4033774617583372E-4</v>
      </c>
    </row>
    <row r="60" spans="2:28" x14ac:dyDescent="0.25">
      <c r="B60" s="346">
        <v>45354</v>
      </c>
      <c r="C60">
        <v>136.29</v>
      </c>
      <c r="D60" s="102">
        <f t="shared" si="0"/>
        <v>-1.2963499420625912E-2</v>
      </c>
      <c r="F60" s="346">
        <v>45354</v>
      </c>
      <c r="G60">
        <v>505.95</v>
      </c>
      <c r="H60" s="102">
        <f t="shared" si="1"/>
        <v>7.266573760700723E-3</v>
      </c>
      <c r="J60" s="346">
        <v>45354</v>
      </c>
      <c r="K60">
        <v>406.22</v>
      </c>
      <c r="L60" s="102">
        <f t="shared" si="2"/>
        <v>-2.2334536702767638E-2</v>
      </c>
      <c r="N60" s="346">
        <v>45354</v>
      </c>
      <c r="O60">
        <v>170.73</v>
      </c>
      <c r="P60" s="102">
        <f t="shared" si="3"/>
        <v>-4.9704998330179273E-2</v>
      </c>
      <c r="R60" s="346">
        <v>45354</v>
      </c>
      <c r="S60">
        <v>195.95</v>
      </c>
      <c r="T60" s="102">
        <f t="shared" si="4"/>
        <v>4.1179596174282684E-2</v>
      </c>
      <c r="V60" s="346">
        <v>45354</v>
      </c>
      <c r="W60">
        <v>175.35</v>
      </c>
      <c r="X60" s="102">
        <f t="shared" si="5"/>
        <v>-1.6103692065985831E-2</v>
      </c>
      <c r="Z60" s="346">
        <v>45354</v>
      </c>
      <c r="AA60" s="348">
        <v>5344.25</v>
      </c>
      <c r="AB60" s="102">
        <f t="shared" si="6"/>
        <v>-2.9384328358208478E-3</v>
      </c>
    </row>
    <row r="61" spans="2:28" x14ac:dyDescent="0.25">
      <c r="B61" s="346">
        <v>45347</v>
      </c>
      <c r="C61">
        <v>138.08000000000001</v>
      </c>
      <c r="D61" s="102">
        <f t="shared" si="0"/>
        <v>-4.9624888154724878E-2</v>
      </c>
      <c r="F61" s="346">
        <v>45347</v>
      </c>
      <c r="G61">
        <v>502.3</v>
      </c>
      <c r="H61" s="102">
        <f t="shared" si="1"/>
        <v>3.7745594281346273E-2</v>
      </c>
      <c r="J61" s="346">
        <v>45347</v>
      </c>
      <c r="K61">
        <v>415.5</v>
      </c>
      <c r="L61" s="102">
        <f t="shared" si="2"/>
        <v>1.2574937856411728E-2</v>
      </c>
      <c r="N61" s="346">
        <v>45347</v>
      </c>
      <c r="O61">
        <v>179.66</v>
      </c>
      <c r="P61" s="102">
        <f t="shared" si="3"/>
        <v>-1.5669515669515688E-2</v>
      </c>
      <c r="R61" s="346">
        <v>45347</v>
      </c>
      <c r="S61">
        <v>188.2</v>
      </c>
      <c r="T61" s="102">
        <f t="shared" si="4"/>
        <v>1.3353435278914416E-2</v>
      </c>
      <c r="V61" s="346">
        <v>45347</v>
      </c>
      <c r="W61">
        <v>178.22</v>
      </c>
      <c r="X61" s="102">
        <f t="shared" si="5"/>
        <v>1.8458197611292082E-2</v>
      </c>
      <c r="Z61" s="346">
        <v>45347</v>
      </c>
      <c r="AA61" s="348">
        <v>5360</v>
      </c>
      <c r="AB61" s="102">
        <f t="shared" si="6"/>
        <v>8.3243192399944377E-3</v>
      </c>
    </row>
    <row r="62" spans="2:28" x14ac:dyDescent="0.25">
      <c r="B62" s="346">
        <v>45340</v>
      </c>
      <c r="C62">
        <v>145.29</v>
      </c>
      <c r="D62" s="102">
        <f t="shared" si="0"/>
        <v>2.4901241534988738E-2</v>
      </c>
      <c r="F62" s="346">
        <v>45340</v>
      </c>
      <c r="G62">
        <v>484.03</v>
      </c>
      <c r="H62" s="102">
        <f t="shared" si="1"/>
        <v>2.2627397954871897E-2</v>
      </c>
      <c r="J62" s="346">
        <v>45340</v>
      </c>
      <c r="K62">
        <v>410.34</v>
      </c>
      <c r="L62" s="102">
        <f t="shared" si="2"/>
        <v>1.5542246201059262E-2</v>
      </c>
      <c r="N62" s="346">
        <v>45340</v>
      </c>
      <c r="O62">
        <v>182.52</v>
      </c>
      <c r="P62" s="102">
        <f t="shared" si="3"/>
        <v>1.1518841533650903E-3</v>
      </c>
      <c r="R62" s="346">
        <v>45340</v>
      </c>
      <c r="S62">
        <v>185.72</v>
      </c>
      <c r="T62" s="102">
        <f t="shared" si="4"/>
        <v>-1.0232359837987537E-2</v>
      </c>
      <c r="V62" s="346">
        <v>45340</v>
      </c>
      <c r="W62">
        <v>174.99</v>
      </c>
      <c r="X62" s="102">
        <f t="shared" si="5"/>
        <v>3.2328476196094691E-2</v>
      </c>
      <c r="Z62" s="346">
        <v>45340</v>
      </c>
      <c r="AA62" s="348">
        <v>5315.75</v>
      </c>
      <c r="AB62" s="102">
        <f t="shared" si="6"/>
        <v>1.7173746651358623E-2</v>
      </c>
    </row>
    <row r="63" spans="2:28" x14ac:dyDescent="0.25">
      <c r="B63" s="346">
        <v>45333</v>
      </c>
      <c r="C63">
        <v>141.76</v>
      </c>
      <c r="D63" s="102">
        <f t="shared" si="0"/>
        <v>-5.63174011449874E-2</v>
      </c>
      <c r="F63" s="346">
        <v>45333</v>
      </c>
      <c r="G63">
        <v>473.32</v>
      </c>
      <c r="H63" s="102">
        <f t="shared" si="1"/>
        <v>1.1129862639123189E-2</v>
      </c>
      <c r="J63" s="346">
        <v>45333</v>
      </c>
      <c r="K63">
        <v>404.06</v>
      </c>
      <c r="L63" s="102">
        <f t="shared" si="2"/>
        <v>-3.921055760313874E-2</v>
      </c>
      <c r="N63" s="346">
        <v>45333</v>
      </c>
      <c r="O63">
        <v>182.31</v>
      </c>
      <c r="P63" s="102">
        <f t="shared" si="3"/>
        <v>-3.4630659253375606E-2</v>
      </c>
      <c r="R63" s="346">
        <v>45333</v>
      </c>
      <c r="S63">
        <v>187.64</v>
      </c>
      <c r="T63" s="102">
        <f t="shared" si="4"/>
        <v>6.9764945798003186E-3</v>
      </c>
      <c r="V63" s="346">
        <v>45333</v>
      </c>
      <c r="W63">
        <v>169.51</v>
      </c>
      <c r="X63" s="102">
        <f t="shared" si="5"/>
        <v>-2.8317569504155871E-2</v>
      </c>
      <c r="Z63" s="346">
        <v>45333</v>
      </c>
      <c r="AA63" s="348">
        <v>5226</v>
      </c>
      <c r="AB63" s="102">
        <f t="shared" si="6"/>
        <v>-3.0047217055372277E-3</v>
      </c>
    </row>
    <row r="64" spans="2:28" x14ac:dyDescent="0.25">
      <c r="B64" s="346">
        <v>45326</v>
      </c>
      <c r="C64">
        <v>150.22</v>
      </c>
      <c r="D64" s="102">
        <f t="shared" si="0"/>
        <v>4.6537550508569003E-2</v>
      </c>
      <c r="F64" s="346">
        <v>45326</v>
      </c>
      <c r="G64">
        <v>468.11</v>
      </c>
      <c r="H64" s="102">
        <f t="shared" si="1"/>
        <v>-1.4484515463483394E-2</v>
      </c>
      <c r="J64" s="346">
        <v>45326</v>
      </c>
      <c r="K64">
        <v>420.55</v>
      </c>
      <c r="L64" s="102">
        <f t="shared" si="2"/>
        <v>2.2688585185545396E-2</v>
      </c>
      <c r="N64" s="346">
        <v>45326</v>
      </c>
      <c r="O64">
        <v>188.85</v>
      </c>
      <c r="P64" s="102">
        <f t="shared" si="3"/>
        <v>1.6142050040355072E-2</v>
      </c>
      <c r="R64" s="346">
        <v>45326</v>
      </c>
      <c r="S64">
        <v>186.34</v>
      </c>
      <c r="T64" s="102">
        <f t="shared" si="4"/>
        <v>2.9603315571344879E-3</v>
      </c>
      <c r="V64" s="346">
        <v>45326</v>
      </c>
      <c r="W64">
        <v>174.45</v>
      </c>
      <c r="X64" s="102">
        <f t="shared" si="5"/>
        <v>1.5365811070368274E-2</v>
      </c>
      <c r="Z64" s="346">
        <v>45326</v>
      </c>
      <c r="AA64" s="348">
        <v>5241.75</v>
      </c>
      <c r="AB64" s="102">
        <f t="shared" si="6"/>
        <v>1.3780098636495541E-2</v>
      </c>
    </row>
    <row r="65" spans="2:28" x14ac:dyDescent="0.25">
      <c r="B65" s="346">
        <v>45319</v>
      </c>
      <c r="C65">
        <v>143.54</v>
      </c>
      <c r="D65" s="102">
        <f t="shared" si="0"/>
        <v>-6.6649327004356551E-2</v>
      </c>
      <c r="F65" s="346">
        <v>45319</v>
      </c>
      <c r="G65">
        <v>474.99</v>
      </c>
      <c r="H65" s="102">
        <f t="shared" si="1"/>
        <v>0.20513015679707713</v>
      </c>
      <c r="J65" s="346">
        <v>45319</v>
      </c>
      <c r="K65">
        <v>411.22</v>
      </c>
      <c r="L65" s="102">
        <f t="shared" si="2"/>
        <v>1.8047681528977844E-2</v>
      </c>
      <c r="N65" s="346">
        <v>45319</v>
      </c>
      <c r="O65">
        <v>185.85</v>
      </c>
      <c r="P65" s="102">
        <f t="shared" si="3"/>
        <v>-3.4144059869036458E-2</v>
      </c>
      <c r="R65" s="346">
        <v>45319</v>
      </c>
      <c r="S65">
        <v>185.79</v>
      </c>
      <c r="T65" s="102">
        <f t="shared" si="4"/>
        <v>-8.6970440721374498E-3</v>
      </c>
      <c r="V65" s="346">
        <v>45319</v>
      </c>
      <c r="W65">
        <v>171.81</v>
      </c>
      <c r="X65" s="102">
        <f t="shared" si="5"/>
        <v>7.9751131221719396E-2</v>
      </c>
      <c r="Z65" s="346">
        <v>45319</v>
      </c>
      <c r="AA65" s="348">
        <v>5170.5</v>
      </c>
      <c r="AB65" s="102">
        <f t="shared" si="6"/>
        <v>1.3575104141141825E-2</v>
      </c>
    </row>
    <row r="66" spans="2:28" x14ac:dyDescent="0.25">
      <c r="B66" s="346">
        <v>45312</v>
      </c>
      <c r="C66">
        <v>153.79</v>
      </c>
      <c r="D66" s="102">
        <f t="shared" si="0"/>
        <v>3.9332297087247392E-2</v>
      </c>
      <c r="F66" s="346">
        <v>45312</v>
      </c>
      <c r="G66">
        <v>394.14</v>
      </c>
      <c r="H66" s="102">
        <f t="shared" si="1"/>
        <v>2.7878471769461566E-2</v>
      </c>
      <c r="J66" s="346">
        <v>45312</v>
      </c>
      <c r="K66">
        <v>403.93</v>
      </c>
      <c r="L66" s="102">
        <f t="shared" si="2"/>
        <v>1.319386961647484E-2</v>
      </c>
      <c r="N66" s="346">
        <v>45312</v>
      </c>
      <c r="O66">
        <v>192.42</v>
      </c>
      <c r="P66" s="102">
        <f t="shared" si="3"/>
        <v>4.4894550010439183E-3</v>
      </c>
      <c r="R66" s="346">
        <v>45312</v>
      </c>
      <c r="S66">
        <v>187.42</v>
      </c>
      <c r="T66" s="102">
        <f t="shared" si="4"/>
        <v>9.295544669932343E-2</v>
      </c>
      <c r="V66" s="346">
        <v>45312</v>
      </c>
      <c r="W66">
        <v>159.12</v>
      </c>
      <c r="X66" s="102">
        <f t="shared" si="5"/>
        <v>2.4333719582850577E-2</v>
      </c>
      <c r="Z66" s="346">
        <v>45312</v>
      </c>
      <c r="AA66" s="348">
        <v>5101.25</v>
      </c>
      <c r="AB66" s="102">
        <f t="shared" si="6"/>
        <v>1.044864811330104E-2</v>
      </c>
    </row>
    <row r="67" spans="2:28" x14ac:dyDescent="0.25">
      <c r="B67" s="346">
        <v>45305</v>
      </c>
      <c r="C67">
        <v>147.97</v>
      </c>
      <c r="D67" s="102">
        <f t="shared" si="0"/>
        <v>2.5859678313921108E-2</v>
      </c>
      <c r="F67" s="346">
        <v>45305</v>
      </c>
      <c r="G67">
        <v>383.45</v>
      </c>
      <c r="H67" s="102">
        <f t="shared" si="1"/>
        <v>2.3925872519960478E-2</v>
      </c>
      <c r="J67" s="346">
        <v>45305</v>
      </c>
      <c r="K67">
        <v>398.67</v>
      </c>
      <c r="L67" s="102">
        <f t="shared" si="2"/>
        <v>2.6256853811104985E-2</v>
      </c>
      <c r="N67" s="346">
        <v>45305</v>
      </c>
      <c r="O67">
        <v>191.56</v>
      </c>
      <c r="P67" s="102">
        <f t="shared" si="3"/>
        <v>3.0335628227194489E-2</v>
      </c>
      <c r="R67" s="346">
        <v>45305</v>
      </c>
      <c r="S67">
        <v>171.48</v>
      </c>
      <c r="T67" s="102">
        <f t="shared" si="4"/>
        <v>3.4258142340168662E-2</v>
      </c>
      <c r="V67" s="346">
        <v>45305</v>
      </c>
      <c r="W67">
        <v>155.34</v>
      </c>
      <c r="X67" s="102">
        <f t="shared" si="5"/>
        <v>4.6565774155995499E-3</v>
      </c>
      <c r="Z67" s="346">
        <v>45305</v>
      </c>
      <c r="AA67" s="348">
        <v>5048.5</v>
      </c>
      <c r="AB67" s="102">
        <f t="shared" si="6"/>
        <v>1.3755020080321367E-2</v>
      </c>
    </row>
    <row r="68" spans="2:28" x14ac:dyDescent="0.25">
      <c r="B68" s="346">
        <v>45298</v>
      </c>
      <c r="C68">
        <v>144.24</v>
      </c>
      <c r="D68" s="102">
        <f t="shared" si="0"/>
        <v>4.985806827280026E-2</v>
      </c>
      <c r="F68" s="346">
        <v>45298</v>
      </c>
      <c r="G68">
        <v>374.49</v>
      </c>
      <c r="H68" s="102">
        <f t="shared" si="1"/>
        <v>6.4043187952834257E-2</v>
      </c>
      <c r="J68" s="346">
        <v>45298</v>
      </c>
      <c r="K68">
        <v>388.47</v>
      </c>
      <c r="L68" s="102">
        <f t="shared" si="2"/>
        <v>5.6342624065261804E-2</v>
      </c>
      <c r="N68" s="346">
        <v>45298</v>
      </c>
      <c r="O68">
        <v>185.92</v>
      </c>
      <c r="P68" s="102">
        <f t="shared" si="3"/>
        <v>2.6161828016337152E-2</v>
      </c>
      <c r="R68" s="346">
        <v>45298</v>
      </c>
      <c r="S68">
        <v>165.8</v>
      </c>
      <c r="T68" s="102">
        <f t="shared" si="4"/>
        <v>4.1719024880623401E-2</v>
      </c>
      <c r="V68" s="346">
        <v>45298</v>
      </c>
      <c r="W68">
        <v>154.62</v>
      </c>
      <c r="X68" s="102">
        <f t="shared" si="5"/>
        <v>6.4582759570366299E-2</v>
      </c>
      <c r="Z68" s="346">
        <v>45298</v>
      </c>
      <c r="AA68" s="348">
        <v>4980</v>
      </c>
      <c r="AB68" s="102">
        <f t="shared" si="6"/>
        <v>1.5135300412780994E-2</v>
      </c>
    </row>
    <row r="69" spans="2:28" x14ac:dyDescent="0.25">
      <c r="B69" s="346">
        <v>45291</v>
      </c>
      <c r="C69">
        <v>137.38999999999999</v>
      </c>
      <c r="D69" s="102">
        <f t="shared" si="0"/>
        <v>-2.511885333144126E-2</v>
      </c>
      <c r="F69" s="346">
        <v>45291</v>
      </c>
      <c r="G69">
        <v>351.95</v>
      </c>
      <c r="H69" s="102">
        <f t="shared" si="1"/>
        <v>-5.6786077522883449E-3</v>
      </c>
      <c r="J69" s="346">
        <v>45291</v>
      </c>
      <c r="K69">
        <v>367.75</v>
      </c>
      <c r="L69" s="102">
        <f t="shared" si="2"/>
        <v>-2.2045527071588134E-2</v>
      </c>
      <c r="N69" s="346">
        <v>45291</v>
      </c>
      <c r="O69">
        <v>181.18</v>
      </c>
      <c r="P69" s="102">
        <f t="shared" si="3"/>
        <v>-5.895185165948158E-2</v>
      </c>
      <c r="R69" s="346">
        <v>45291</v>
      </c>
      <c r="S69">
        <v>159.16</v>
      </c>
      <c r="T69" s="102">
        <f t="shared" si="4"/>
        <v>-2.684194435952314E-2</v>
      </c>
      <c r="V69" s="346">
        <v>45291</v>
      </c>
      <c r="W69">
        <v>145.24</v>
      </c>
      <c r="X69" s="102">
        <f t="shared" si="5"/>
        <v>-4.4096353823877776E-2</v>
      </c>
      <c r="Z69" s="346">
        <v>45291</v>
      </c>
      <c r="AA69" s="348">
        <v>4905.75</v>
      </c>
      <c r="AB69" s="102">
        <f t="shared" si="6"/>
        <v>-1.6193723052241094E-2</v>
      </c>
    </row>
    <row r="70" spans="2:28" x14ac:dyDescent="0.25">
      <c r="B70" s="346">
        <v>45284</v>
      </c>
      <c r="C70">
        <v>140.93</v>
      </c>
      <c r="D70" s="102">
        <f t="shared" si="0"/>
        <v>-1.2542040358744289E-2</v>
      </c>
      <c r="F70" s="346">
        <v>45284</v>
      </c>
      <c r="G70">
        <v>353.96</v>
      </c>
      <c r="H70" s="102">
        <f t="shared" si="1"/>
        <v>1.6129488666911662E-3</v>
      </c>
      <c r="J70" s="346">
        <v>45284</v>
      </c>
      <c r="K70">
        <v>376.04</v>
      </c>
      <c r="L70" s="102">
        <f t="shared" si="2"/>
        <v>3.8976987559400378E-3</v>
      </c>
      <c r="N70" s="346">
        <v>45284</v>
      </c>
      <c r="O70">
        <v>192.53</v>
      </c>
      <c r="P70" s="102">
        <f t="shared" si="3"/>
        <v>-5.526859504132231E-3</v>
      </c>
      <c r="R70" s="346">
        <v>45284</v>
      </c>
      <c r="S70">
        <v>163.55000000000001</v>
      </c>
      <c r="T70" s="102">
        <f t="shared" si="4"/>
        <v>8.6961884790923705E-3</v>
      </c>
      <c r="V70" s="346">
        <v>45284</v>
      </c>
      <c r="W70">
        <v>151.94</v>
      </c>
      <c r="X70" s="102">
        <f t="shared" si="5"/>
        <v>-9.6467214183286742E-3</v>
      </c>
      <c r="Z70" s="346">
        <v>45284</v>
      </c>
      <c r="AA70" s="348">
        <v>4986.5</v>
      </c>
      <c r="AB70" s="102">
        <f t="shared" si="6"/>
        <v>3.1685359352211506E-3</v>
      </c>
    </row>
    <row r="71" spans="2:28" x14ac:dyDescent="0.25">
      <c r="B71" s="346">
        <v>45277</v>
      </c>
      <c r="C71">
        <v>142.72</v>
      </c>
      <c r="D71" s="102">
        <f t="shared" si="0"/>
        <v>6.6347878063359289E-2</v>
      </c>
      <c r="F71" s="346">
        <v>45277</v>
      </c>
      <c r="G71">
        <v>353.39</v>
      </c>
      <c r="H71" s="102">
        <f t="shared" si="1"/>
        <v>5.5147497909948662E-2</v>
      </c>
      <c r="J71" s="346">
        <v>45277</v>
      </c>
      <c r="K71">
        <v>374.58</v>
      </c>
      <c r="L71" s="102">
        <f t="shared" si="2"/>
        <v>1.038491624632476E-2</v>
      </c>
      <c r="N71" s="346">
        <v>45277</v>
      </c>
      <c r="O71">
        <v>193.6</v>
      </c>
      <c r="P71" s="102">
        <f t="shared" si="3"/>
        <v>-2.0094143847750212E-2</v>
      </c>
      <c r="R71" s="346">
        <v>45277</v>
      </c>
      <c r="S71">
        <v>162.13999999999999</v>
      </c>
      <c r="T71" s="102">
        <f t="shared" si="4"/>
        <v>-5.547679220859747E-4</v>
      </c>
      <c r="V71" s="346">
        <v>45277</v>
      </c>
      <c r="W71">
        <v>153.41999999999999</v>
      </c>
      <c r="X71" s="102">
        <f t="shared" si="5"/>
        <v>2.300460092018386E-2</v>
      </c>
      <c r="Z71" s="346">
        <v>45277</v>
      </c>
      <c r="AA71" s="348">
        <v>4970.75</v>
      </c>
      <c r="AB71" s="102">
        <f t="shared" si="6"/>
        <v>6.2756212358925367E-3</v>
      </c>
    </row>
    <row r="72" spans="2:28" x14ac:dyDescent="0.25">
      <c r="B72" s="346">
        <v>45270</v>
      </c>
      <c r="C72">
        <v>133.84</v>
      </c>
      <c r="D72" s="102">
        <f t="shared" si="0"/>
        <v>-2.0491803278688381E-2</v>
      </c>
      <c r="F72" s="346">
        <v>45270</v>
      </c>
      <c r="G72">
        <v>334.92</v>
      </c>
      <c r="H72" s="102">
        <f t="shared" si="1"/>
        <v>6.5214124718258049E-3</v>
      </c>
      <c r="J72" s="346">
        <v>45270</v>
      </c>
      <c r="K72">
        <v>370.73</v>
      </c>
      <c r="L72" s="102">
        <f t="shared" si="2"/>
        <v>-9.3525372097372772E-3</v>
      </c>
      <c r="N72" s="346">
        <v>45270</v>
      </c>
      <c r="O72">
        <v>197.57</v>
      </c>
      <c r="P72" s="102">
        <f t="shared" si="3"/>
        <v>9.5038577487096543E-3</v>
      </c>
      <c r="R72" s="346">
        <v>45270</v>
      </c>
      <c r="S72">
        <v>162.22999999999999</v>
      </c>
      <c r="T72" s="102">
        <f t="shared" si="4"/>
        <v>1.6670782909358195E-3</v>
      </c>
      <c r="V72" s="346">
        <v>45270</v>
      </c>
      <c r="W72">
        <v>149.97</v>
      </c>
      <c r="X72" s="102">
        <f t="shared" si="5"/>
        <v>1.7297517297517384E-2</v>
      </c>
      <c r="Z72" s="346">
        <v>45270</v>
      </c>
      <c r="AA72" s="348">
        <v>4939.75</v>
      </c>
      <c r="AB72" s="102">
        <f t="shared" si="6"/>
        <v>2.0978659639332431E-2</v>
      </c>
    </row>
    <row r="73" spans="2:28" x14ac:dyDescent="0.25">
      <c r="B73" s="346">
        <v>45263</v>
      </c>
      <c r="C73">
        <v>136.63999999999999</v>
      </c>
      <c r="D73" s="102">
        <f t="shared" si="0"/>
        <v>2.4902490249024911E-2</v>
      </c>
      <c r="F73" s="346">
        <v>45263</v>
      </c>
      <c r="G73">
        <v>332.75</v>
      </c>
      <c r="H73" s="102">
        <f t="shared" si="1"/>
        <v>2.4413521334893273E-2</v>
      </c>
      <c r="J73" s="346">
        <v>45263</v>
      </c>
      <c r="K73">
        <v>374.23</v>
      </c>
      <c r="L73" s="102">
        <f t="shared" si="2"/>
        <v>-7.4764358762113847E-4</v>
      </c>
      <c r="N73" s="346">
        <v>45263</v>
      </c>
      <c r="O73">
        <v>195.71</v>
      </c>
      <c r="P73" s="102">
        <f t="shared" si="3"/>
        <v>2.3373771177577884E-2</v>
      </c>
      <c r="R73" s="346">
        <v>45263</v>
      </c>
      <c r="S73">
        <v>161.96</v>
      </c>
      <c r="T73" s="102">
        <f t="shared" si="4"/>
        <v>8.7823108066023003E-3</v>
      </c>
      <c r="V73" s="346">
        <v>45263</v>
      </c>
      <c r="W73">
        <v>147.41999999999999</v>
      </c>
      <c r="X73" s="102">
        <f t="shared" si="5"/>
        <v>2.6525198938991412E-3</v>
      </c>
      <c r="Z73" s="346">
        <v>45263</v>
      </c>
      <c r="AA73" s="348">
        <v>4838.25</v>
      </c>
      <c r="AB73" s="102">
        <f t="shared" si="6"/>
        <v>3.3699709664039013E-3</v>
      </c>
    </row>
    <row r="74" spans="2:28" x14ac:dyDescent="0.25">
      <c r="B74" s="346">
        <v>45256</v>
      </c>
      <c r="C74">
        <v>133.32</v>
      </c>
      <c r="D74" s="102">
        <f t="shared" si="0"/>
        <v>-3.5450730719143397E-2</v>
      </c>
      <c r="F74" s="346">
        <v>45256</v>
      </c>
      <c r="G74">
        <v>324.82</v>
      </c>
      <c r="H74" s="102">
        <f t="shared" si="1"/>
        <v>-3.9647577092511099E-2</v>
      </c>
      <c r="J74" s="346">
        <v>45256</v>
      </c>
      <c r="K74">
        <v>374.51</v>
      </c>
      <c r="L74" s="102">
        <f t="shared" si="2"/>
        <v>-7.7365339268209432E-3</v>
      </c>
      <c r="N74" s="346">
        <v>45256</v>
      </c>
      <c r="O74">
        <v>191.24</v>
      </c>
      <c r="P74" s="102">
        <f t="shared" si="3"/>
        <v>6.6852660946465914E-3</v>
      </c>
      <c r="R74" s="346">
        <v>45256</v>
      </c>
      <c r="S74">
        <v>160.55000000000001</v>
      </c>
      <c r="T74" s="102">
        <f t="shared" si="4"/>
        <v>3.4604974867895377E-2</v>
      </c>
      <c r="V74" s="346">
        <v>45256</v>
      </c>
      <c r="W74">
        <v>147.03</v>
      </c>
      <c r="X74" s="102">
        <f t="shared" si="5"/>
        <v>1.9762845849802257E-3</v>
      </c>
      <c r="Z74" s="346">
        <v>45256</v>
      </c>
      <c r="AA74" s="348">
        <v>4822</v>
      </c>
      <c r="AB74" s="102">
        <f t="shared" si="6"/>
        <v>4.0081203477173588E-3</v>
      </c>
    </row>
    <row r="75" spans="2:28" x14ac:dyDescent="0.25">
      <c r="B75" s="346">
        <v>45249</v>
      </c>
      <c r="C75">
        <v>138.22</v>
      </c>
      <c r="D75" s="102">
        <f t="shared" si="0"/>
        <v>9.3471593398568587E-3</v>
      </c>
      <c r="F75" s="346">
        <v>45249</v>
      </c>
      <c r="G75">
        <v>338.23</v>
      </c>
      <c r="H75" s="102">
        <f t="shared" si="1"/>
        <v>9.521251193887359E-3</v>
      </c>
      <c r="J75" s="346">
        <v>45249</v>
      </c>
      <c r="K75">
        <v>377.43</v>
      </c>
      <c r="L75" s="102">
        <f t="shared" si="2"/>
        <v>2.0494795187238068E-2</v>
      </c>
      <c r="N75" s="346">
        <v>45249</v>
      </c>
      <c r="O75">
        <v>189.97</v>
      </c>
      <c r="P75" s="102">
        <f t="shared" si="3"/>
        <v>1.4760925720913587E-3</v>
      </c>
      <c r="R75" s="346">
        <v>45249</v>
      </c>
      <c r="S75">
        <v>155.18</v>
      </c>
      <c r="T75" s="102">
        <f t="shared" si="4"/>
        <v>1.4978088822029001E-2</v>
      </c>
      <c r="V75" s="346">
        <v>45249</v>
      </c>
      <c r="W75">
        <v>146.74</v>
      </c>
      <c r="X75" s="102">
        <f t="shared" si="5"/>
        <v>1.0745281719245048E-2</v>
      </c>
      <c r="Z75" s="346">
        <v>45249</v>
      </c>
      <c r="AA75" s="348">
        <v>4802.75</v>
      </c>
      <c r="AB75" s="102">
        <f t="shared" si="6"/>
        <v>9.3521777964586938E-3</v>
      </c>
    </row>
    <row r="76" spans="2:28" x14ac:dyDescent="0.25">
      <c r="B76" s="346">
        <v>45242</v>
      </c>
      <c r="C76">
        <v>136.94</v>
      </c>
      <c r="D76" s="102">
        <f t="shared" si="0"/>
        <v>2.1482918096374704E-2</v>
      </c>
      <c r="F76" s="346">
        <v>45242</v>
      </c>
      <c r="G76">
        <v>335.04</v>
      </c>
      <c r="H76" s="102">
        <f t="shared" si="1"/>
        <v>1.9071083128022748E-2</v>
      </c>
      <c r="J76" s="346">
        <v>45242</v>
      </c>
      <c r="K76">
        <v>369.85</v>
      </c>
      <c r="L76" s="102">
        <f t="shared" si="2"/>
        <v>4.8692076717071764E-4</v>
      </c>
      <c r="N76" s="346">
        <v>45242</v>
      </c>
      <c r="O76">
        <v>189.69</v>
      </c>
      <c r="P76" s="102">
        <f t="shared" si="3"/>
        <v>1.765021459227456E-2</v>
      </c>
      <c r="R76" s="346">
        <v>45242</v>
      </c>
      <c r="S76">
        <v>152.88999999999999</v>
      </c>
      <c r="T76" s="102">
        <f t="shared" si="4"/>
        <v>2.5969668500872123E-2</v>
      </c>
      <c r="V76" s="346">
        <v>45242</v>
      </c>
      <c r="W76">
        <v>145.18</v>
      </c>
      <c r="X76" s="102">
        <f t="shared" si="5"/>
        <v>1.1284480356645421E-2</v>
      </c>
      <c r="Z76" s="346">
        <v>45242</v>
      </c>
      <c r="AA76" s="348">
        <v>4758.25</v>
      </c>
      <c r="AB76" s="102">
        <f t="shared" si="6"/>
        <v>2.0809868597479131E-2</v>
      </c>
    </row>
    <row r="77" spans="2:28" x14ac:dyDescent="0.25">
      <c r="B77" s="346">
        <v>45235</v>
      </c>
      <c r="C77">
        <v>134.06</v>
      </c>
      <c r="D77" s="102">
        <f t="shared" si="0"/>
        <v>2.8304057681981964E-2</v>
      </c>
      <c r="F77" s="346">
        <v>45235</v>
      </c>
      <c r="G77">
        <v>328.77</v>
      </c>
      <c r="H77" s="102">
        <f t="shared" si="1"/>
        <v>4.5041322314049559E-2</v>
      </c>
      <c r="J77" s="346">
        <v>45235</v>
      </c>
      <c r="K77">
        <v>369.67</v>
      </c>
      <c r="L77" s="102">
        <f t="shared" si="2"/>
        <v>4.781746031746037E-2</v>
      </c>
      <c r="N77" s="346">
        <v>45235</v>
      </c>
      <c r="O77">
        <v>186.4</v>
      </c>
      <c r="P77" s="102">
        <f t="shared" si="3"/>
        <v>5.5193886215680665E-2</v>
      </c>
      <c r="R77" s="346">
        <v>45235</v>
      </c>
      <c r="S77">
        <v>149.02000000000001</v>
      </c>
      <c r="T77" s="102">
        <f t="shared" si="4"/>
        <v>7.5726842461123489E-3</v>
      </c>
      <c r="V77" s="346">
        <v>45235</v>
      </c>
      <c r="W77">
        <v>143.56</v>
      </c>
      <c r="X77" s="102">
        <f t="shared" si="5"/>
        <v>3.5786435786435922E-2</v>
      </c>
      <c r="Z77" s="346">
        <v>45235</v>
      </c>
      <c r="AA77" s="348">
        <v>4661.25</v>
      </c>
      <c r="AB77" s="102">
        <f t="shared" si="6"/>
        <v>1.3976506417228585E-2</v>
      </c>
    </row>
    <row r="78" spans="2:28" x14ac:dyDescent="0.25">
      <c r="B78" s="346">
        <v>45228</v>
      </c>
      <c r="C78">
        <v>130.37</v>
      </c>
      <c r="D78" s="102">
        <f t="shared" si="0"/>
        <v>5.6482982171798923E-2</v>
      </c>
      <c r="F78" s="346">
        <v>45228</v>
      </c>
      <c r="G78">
        <v>314.60000000000002</v>
      </c>
      <c r="H78" s="102">
        <f t="shared" si="1"/>
        <v>6.0223098439659006E-2</v>
      </c>
      <c r="J78" s="346">
        <v>45228</v>
      </c>
      <c r="K78">
        <v>352.8</v>
      </c>
      <c r="L78" s="102">
        <f t="shared" si="2"/>
        <v>6.97068008853583E-2</v>
      </c>
      <c r="N78" s="346">
        <v>45228</v>
      </c>
      <c r="O78">
        <v>176.65</v>
      </c>
      <c r="P78" s="102">
        <f t="shared" si="3"/>
        <v>5.0112947330876345E-2</v>
      </c>
      <c r="R78" s="346">
        <v>45228</v>
      </c>
      <c r="S78">
        <v>147.9</v>
      </c>
      <c r="T78" s="102">
        <f t="shared" si="4"/>
        <v>3.7749087847319673E-2</v>
      </c>
      <c r="V78" s="346">
        <v>45228</v>
      </c>
      <c r="W78">
        <v>138.6</v>
      </c>
      <c r="X78" s="102">
        <f t="shared" si="5"/>
        <v>8.5016439643024855E-2</v>
      </c>
      <c r="Z78" s="346">
        <v>45228</v>
      </c>
      <c r="AA78" s="348">
        <v>4597</v>
      </c>
      <c r="AB78" s="102">
        <f t="shared" si="6"/>
        <v>5.5568312284730137E-2</v>
      </c>
    </row>
    <row r="79" spans="2:28" x14ac:dyDescent="0.25">
      <c r="B79" s="346">
        <v>45221</v>
      </c>
      <c r="C79">
        <v>123.4</v>
      </c>
      <c r="D79" s="102">
        <f t="shared" si="0"/>
        <v>-9.7557408219979491E-2</v>
      </c>
      <c r="F79" s="346">
        <v>45221</v>
      </c>
      <c r="G79">
        <v>296.73</v>
      </c>
      <c r="H79" s="102">
        <f t="shared" si="1"/>
        <v>-3.861979588530684E-2</v>
      </c>
      <c r="J79" s="346">
        <v>45221</v>
      </c>
      <c r="K79">
        <v>329.81</v>
      </c>
      <c r="L79" s="102">
        <f t="shared" si="2"/>
        <v>9.6121468148284706E-3</v>
      </c>
      <c r="N79" s="346">
        <v>45221</v>
      </c>
      <c r="O79">
        <v>168.22</v>
      </c>
      <c r="P79" s="102">
        <f t="shared" si="3"/>
        <v>-2.6955113373438255E-2</v>
      </c>
      <c r="R79" s="346">
        <v>45221</v>
      </c>
      <c r="S79">
        <v>142.52000000000001</v>
      </c>
      <c r="T79" s="102">
        <f t="shared" si="4"/>
        <v>3.9078448527267495E-2</v>
      </c>
      <c r="V79" s="346">
        <v>45221</v>
      </c>
      <c r="W79">
        <v>127.74</v>
      </c>
      <c r="X79" s="102">
        <f t="shared" si="5"/>
        <v>2.0532076376128305E-2</v>
      </c>
      <c r="Z79" s="346">
        <v>45221</v>
      </c>
      <c r="AA79" s="348">
        <v>4355</v>
      </c>
      <c r="AB79" s="102">
        <f t="shared" si="6"/>
        <v>-2.5890510540736988E-2</v>
      </c>
    </row>
    <row r="80" spans="2:28" x14ac:dyDescent="0.25">
      <c r="B80" s="346">
        <v>45214</v>
      </c>
      <c r="C80">
        <v>136.74</v>
      </c>
      <c r="D80" s="102">
        <f t="shared" ref="D80:D143" si="7">C80/C81-1</f>
        <v>-1.3277529224996365E-2</v>
      </c>
      <c r="F80" s="346">
        <v>45214</v>
      </c>
      <c r="G80">
        <v>308.64999999999998</v>
      </c>
      <c r="H80" s="102">
        <f t="shared" ref="H80:H143" si="8">G80/G81-1</f>
        <v>-1.9193492008007906E-2</v>
      </c>
      <c r="J80" s="346">
        <v>45214</v>
      </c>
      <c r="K80">
        <v>326.67</v>
      </c>
      <c r="L80" s="102">
        <f t="shared" ref="L80:L143" si="9">K80/K81-1</f>
        <v>-3.2343697555915485E-3</v>
      </c>
      <c r="N80" s="346">
        <v>45214</v>
      </c>
      <c r="O80">
        <v>172.88</v>
      </c>
      <c r="P80" s="102">
        <f t="shared" ref="P80:P143" si="10">O80/O81-1</f>
        <v>-3.3379927313391122E-2</v>
      </c>
      <c r="R80" s="346">
        <v>45214</v>
      </c>
      <c r="S80">
        <v>137.16</v>
      </c>
      <c r="T80" s="102">
        <f t="shared" ref="T80:T143" si="11">S80/S81-1</f>
        <v>-9.3889932110358121E-3</v>
      </c>
      <c r="V80" s="346">
        <v>45214</v>
      </c>
      <c r="W80">
        <v>125.17</v>
      </c>
      <c r="X80" s="102">
        <f t="shared" ref="X80:X143" si="12">W80/W81-1</f>
        <v>-3.5595962708991347E-2</v>
      </c>
      <c r="Z80" s="346">
        <v>45214</v>
      </c>
      <c r="AA80" s="348">
        <v>4470.75</v>
      </c>
      <c r="AB80" s="102">
        <f t="shared" ref="AB80:AB143" si="13">AA80/AA81-1</f>
        <v>-2.4865041714379199E-2</v>
      </c>
    </row>
    <row r="81" spans="2:28" x14ac:dyDescent="0.25">
      <c r="B81" s="346">
        <v>45207</v>
      </c>
      <c r="C81">
        <v>138.58000000000001</v>
      </c>
      <c r="D81" s="102">
        <f t="shared" si="7"/>
        <v>-1.0812369350535755E-3</v>
      </c>
      <c r="F81" s="346">
        <v>45207</v>
      </c>
      <c r="G81">
        <v>314.69</v>
      </c>
      <c r="H81" s="102">
        <f t="shared" si="8"/>
        <v>-2.3460038677360906E-3</v>
      </c>
      <c r="J81" s="346">
        <v>45207</v>
      </c>
      <c r="K81">
        <v>327.73</v>
      </c>
      <c r="L81" s="102">
        <f t="shared" si="9"/>
        <v>1.4361669620486239E-3</v>
      </c>
      <c r="N81" s="346">
        <v>45207</v>
      </c>
      <c r="O81">
        <v>178.85</v>
      </c>
      <c r="P81" s="102">
        <f t="shared" si="10"/>
        <v>7.6624035156909187E-3</v>
      </c>
      <c r="R81" s="346">
        <v>45207</v>
      </c>
      <c r="S81">
        <v>138.46</v>
      </c>
      <c r="T81" s="102">
        <f t="shared" si="11"/>
        <v>-2.5135534746180355E-2</v>
      </c>
      <c r="V81" s="346">
        <v>45207</v>
      </c>
      <c r="W81">
        <v>129.79</v>
      </c>
      <c r="X81" s="102">
        <f t="shared" si="12"/>
        <v>1.4301344170053021E-2</v>
      </c>
      <c r="Z81" s="346">
        <v>45207</v>
      </c>
      <c r="AA81" s="348">
        <v>4584.75</v>
      </c>
      <c r="AB81" s="102">
        <f t="shared" si="13"/>
        <v>2.3502404897244311E-3</v>
      </c>
    </row>
    <row r="82" spans="2:28" x14ac:dyDescent="0.25">
      <c r="B82" s="346">
        <v>45200</v>
      </c>
      <c r="C82">
        <v>138.72999999999999</v>
      </c>
      <c r="D82" s="102">
        <f t="shared" si="7"/>
        <v>5.2180508153204297E-2</v>
      </c>
      <c r="F82" s="346">
        <v>45200</v>
      </c>
      <c r="G82">
        <v>315.43</v>
      </c>
      <c r="H82" s="102">
        <f t="shared" si="8"/>
        <v>5.0697844841944173E-2</v>
      </c>
      <c r="J82" s="346">
        <v>45200</v>
      </c>
      <c r="K82">
        <v>327.26</v>
      </c>
      <c r="L82" s="102">
        <f t="shared" si="9"/>
        <v>3.6452889944576405E-2</v>
      </c>
      <c r="N82" s="346">
        <v>45200</v>
      </c>
      <c r="O82">
        <v>177.49</v>
      </c>
      <c r="P82" s="102">
        <f t="shared" si="10"/>
        <v>3.6680100461421672E-2</v>
      </c>
      <c r="R82" s="346">
        <v>45200</v>
      </c>
      <c r="S82">
        <v>142.03</v>
      </c>
      <c r="T82" s="102">
        <f t="shared" si="11"/>
        <v>1.2330719885958574E-2</v>
      </c>
      <c r="V82" s="346">
        <v>45200</v>
      </c>
      <c r="W82">
        <v>127.96</v>
      </c>
      <c r="X82" s="102">
        <f t="shared" si="12"/>
        <v>6.6079295154184425E-3</v>
      </c>
      <c r="Z82" s="346">
        <v>45200</v>
      </c>
      <c r="AA82" s="348">
        <v>4574</v>
      </c>
      <c r="AB82" s="102">
        <f t="shared" si="13"/>
        <v>2.8502521376891909E-3</v>
      </c>
    </row>
    <row r="83" spans="2:28" x14ac:dyDescent="0.25">
      <c r="B83" s="346">
        <v>45193</v>
      </c>
      <c r="C83">
        <v>131.85</v>
      </c>
      <c r="D83" s="102">
        <f t="shared" si="7"/>
        <v>4.5714285714284486E-3</v>
      </c>
      <c r="F83" s="346">
        <v>45193</v>
      </c>
      <c r="G83">
        <v>300.20999999999998</v>
      </c>
      <c r="H83" s="102">
        <f t="shared" si="8"/>
        <v>3.7782533101511362E-3</v>
      </c>
      <c r="J83" s="346">
        <v>45193</v>
      </c>
      <c r="K83">
        <v>315.75</v>
      </c>
      <c r="L83" s="102">
        <f t="shared" si="9"/>
        <v>-3.9746380240370804E-3</v>
      </c>
      <c r="N83" s="346">
        <v>45193</v>
      </c>
      <c r="O83">
        <v>171.21</v>
      </c>
      <c r="P83" s="102">
        <f t="shared" si="10"/>
        <v>-2.0481720922249425E-2</v>
      </c>
      <c r="R83" s="346">
        <v>45193</v>
      </c>
      <c r="S83">
        <v>140.30000000000001</v>
      </c>
      <c r="T83" s="102">
        <f t="shared" si="11"/>
        <v>-4.4993533455857215E-2</v>
      </c>
      <c r="V83" s="346">
        <v>45193</v>
      </c>
      <c r="W83">
        <v>127.12</v>
      </c>
      <c r="X83" s="102">
        <f t="shared" si="12"/>
        <v>-1.5489467162329573E-2</v>
      </c>
      <c r="Z83" s="346">
        <v>45193</v>
      </c>
      <c r="AA83" s="348">
        <v>4561</v>
      </c>
      <c r="AB83" s="102">
        <f t="shared" si="13"/>
        <v>-7.8311942571241966E-3</v>
      </c>
    </row>
    <row r="84" spans="2:28" x14ac:dyDescent="0.25">
      <c r="B84" s="346">
        <v>45186</v>
      </c>
      <c r="C84">
        <v>131.25</v>
      </c>
      <c r="D84" s="102">
        <f t="shared" si="7"/>
        <v>-5.0976138828633499E-2</v>
      </c>
      <c r="F84" s="346">
        <v>45186</v>
      </c>
      <c r="G84">
        <v>299.08</v>
      </c>
      <c r="H84" s="102">
        <f t="shared" si="8"/>
        <v>-4.0957677067031684E-3</v>
      </c>
      <c r="J84" s="346">
        <v>45186</v>
      </c>
      <c r="K84">
        <v>317.01</v>
      </c>
      <c r="L84" s="102">
        <f t="shared" si="9"/>
        <v>-4.0003633941009142E-2</v>
      </c>
      <c r="N84" s="346">
        <v>45186</v>
      </c>
      <c r="O84">
        <v>174.79</v>
      </c>
      <c r="P84" s="102">
        <f t="shared" si="10"/>
        <v>-1.2570710245128902E-3</v>
      </c>
      <c r="R84" s="346">
        <v>45186</v>
      </c>
      <c r="S84">
        <v>146.91</v>
      </c>
      <c r="T84" s="102">
        <f t="shared" si="11"/>
        <v>6.3018014932527677E-3</v>
      </c>
      <c r="V84" s="346">
        <v>45186</v>
      </c>
      <c r="W84">
        <v>129.12</v>
      </c>
      <c r="X84" s="102">
        <f t="shared" si="12"/>
        <v>-8.0276372961036957E-2</v>
      </c>
      <c r="Z84" s="346">
        <v>45186</v>
      </c>
      <c r="AA84" s="348">
        <v>4597</v>
      </c>
      <c r="AB84" s="102">
        <f t="shared" si="13"/>
        <v>-2.9144667370644139E-2</v>
      </c>
    </row>
    <row r="85" spans="2:28" x14ac:dyDescent="0.25">
      <c r="B85" s="346">
        <v>45179</v>
      </c>
      <c r="C85">
        <v>138.30000000000001</v>
      </c>
      <c r="D85" s="102">
        <f t="shared" si="7"/>
        <v>8.017492711370533E-3</v>
      </c>
      <c r="F85" s="346">
        <v>45179</v>
      </c>
      <c r="G85">
        <v>300.31</v>
      </c>
      <c r="H85" s="102">
        <f t="shared" si="8"/>
        <v>8.1238040887576801E-3</v>
      </c>
      <c r="J85" s="346">
        <v>45179</v>
      </c>
      <c r="K85">
        <v>330.22</v>
      </c>
      <c r="L85" s="102">
        <f t="shared" si="9"/>
        <v>-1.2115954168785525E-2</v>
      </c>
      <c r="N85" s="346">
        <v>45179</v>
      </c>
      <c r="O85">
        <v>175.01</v>
      </c>
      <c r="P85" s="102">
        <f t="shared" si="10"/>
        <v>-1.7790997867325298E-2</v>
      </c>
      <c r="R85" s="346">
        <v>45179</v>
      </c>
      <c r="S85">
        <v>145.99</v>
      </c>
      <c r="T85" s="102">
        <f t="shared" si="11"/>
        <v>-1.1443661971830998E-2</v>
      </c>
      <c r="V85" s="346">
        <v>45179</v>
      </c>
      <c r="W85">
        <v>140.38999999999999</v>
      </c>
      <c r="X85" s="102">
        <f t="shared" si="12"/>
        <v>1.5626130362439428E-2</v>
      </c>
      <c r="Z85" s="346">
        <v>45179</v>
      </c>
      <c r="AA85" s="348">
        <v>4735</v>
      </c>
      <c r="AB85" s="102">
        <f t="shared" si="13"/>
        <v>-2.7379949452400743E-3</v>
      </c>
    </row>
    <row r="86" spans="2:28" x14ac:dyDescent="0.25">
      <c r="B86" s="346">
        <v>45172</v>
      </c>
      <c r="C86">
        <v>137.19999999999999</v>
      </c>
      <c r="D86" s="102">
        <f t="shared" si="7"/>
        <v>2.9239766081869956E-3</v>
      </c>
      <c r="F86" s="346">
        <v>45172</v>
      </c>
      <c r="G86">
        <v>297.89</v>
      </c>
      <c r="H86" s="102">
        <f t="shared" si="8"/>
        <v>5.0948107159727307E-3</v>
      </c>
      <c r="J86" s="346">
        <v>45172</v>
      </c>
      <c r="K86">
        <v>334.27</v>
      </c>
      <c r="L86" s="102">
        <f t="shared" si="9"/>
        <v>1.706931175074522E-2</v>
      </c>
      <c r="N86" s="346">
        <v>45172</v>
      </c>
      <c r="O86">
        <v>178.18</v>
      </c>
      <c r="P86" s="102">
        <f t="shared" si="10"/>
        <v>-5.9537633273514246E-2</v>
      </c>
      <c r="R86" s="346">
        <v>45172</v>
      </c>
      <c r="S86">
        <v>147.68</v>
      </c>
      <c r="T86" s="102">
        <f t="shared" si="11"/>
        <v>-1.7574692442882123E-3</v>
      </c>
      <c r="V86" s="346">
        <v>45172</v>
      </c>
      <c r="W86">
        <v>138.22999999999999</v>
      </c>
      <c r="X86" s="102">
        <f t="shared" si="12"/>
        <v>7.9640891977983408E-4</v>
      </c>
      <c r="Z86" s="346">
        <v>45172</v>
      </c>
      <c r="AA86" s="348">
        <v>4748</v>
      </c>
      <c r="AB86" s="102">
        <f t="shared" si="13"/>
        <v>-1.1245314452311583E-2</v>
      </c>
    </row>
    <row r="87" spans="2:28" x14ac:dyDescent="0.25">
      <c r="B87" s="346">
        <v>45165</v>
      </c>
      <c r="C87">
        <v>136.80000000000001</v>
      </c>
      <c r="D87" s="102">
        <f t="shared" si="7"/>
        <v>4.6751855536001363E-2</v>
      </c>
      <c r="F87" s="346">
        <v>45165</v>
      </c>
      <c r="G87">
        <v>296.38</v>
      </c>
      <c r="H87" s="102">
        <f t="shared" si="8"/>
        <v>3.8108581436077094E-2</v>
      </c>
      <c r="J87" s="346">
        <v>45165</v>
      </c>
      <c r="K87">
        <v>328.66</v>
      </c>
      <c r="L87" s="102">
        <f t="shared" si="9"/>
        <v>1.7586228249427238E-2</v>
      </c>
      <c r="N87" s="346">
        <v>45165</v>
      </c>
      <c r="O87">
        <v>189.46</v>
      </c>
      <c r="P87" s="102">
        <f t="shared" si="10"/>
        <v>6.0746878674206251E-2</v>
      </c>
      <c r="R87" s="346">
        <v>45165</v>
      </c>
      <c r="S87">
        <v>147.94</v>
      </c>
      <c r="T87" s="102">
        <f t="shared" si="11"/>
        <v>1.7819057447540532E-2</v>
      </c>
      <c r="V87" s="346">
        <v>45165</v>
      </c>
      <c r="W87">
        <v>138.12</v>
      </c>
      <c r="X87" s="102">
        <f t="shared" si="12"/>
        <v>3.6470058532192873E-2</v>
      </c>
      <c r="Z87" s="346">
        <v>45165</v>
      </c>
      <c r="AA87" s="348">
        <v>4802</v>
      </c>
      <c r="AB87" s="102">
        <f t="shared" si="13"/>
        <v>2.2790202342918064E-2</v>
      </c>
    </row>
    <row r="88" spans="2:28" x14ac:dyDescent="0.25">
      <c r="B88" s="346">
        <v>45158</v>
      </c>
      <c r="C88">
        <v>130.69</v>
      </c>
      <c r="D88" s="102">
        <f t="shared" si="7"/>
        <v>2.0138943095777018E-2</v>
      </c>
      <c r="F88" s="346">
        <v>45158</v>
      </c>
      <c r="G88">
        <v>285.5</v>
      </c>
      <c r="H88" s="102">
        <f t="shared" si="8"/>
        <v>7.9435127978817466E-3</v>
      </c>
      <c r="J88" s="346">
        <v>45158</v>
      </c>
      <c r="K88">
        <v>322.98</v>
      </c>
      <c r="L88" s="102">
        <f t="shared" si="9"/>
        <v>2.053842264914052E-2</v>
      </c>
      <c r="N88" s="346">
        <v>45158</v>
      </c>
      <c r="O88">
        <v>178.61</v>
      </c>
      <c r="P88" s="102">
        <f t="shared" si="10"/>
        <v>2.3611668290446364E-2</v>
      </c>
      <c r="R88" s="346">
        <v>45158</v>
      </c>
      <c r="S88">
        <v>145.35</v>
      </c>
      <c r="T88" s="102">
        <f t="shared" si="11"/>
        <v>2.7862244537161462E-2</v>
      </c>
      <c r="V88" s="346">
        <v>45158</v>
      </c>
      <c r="W88">
        <v>133.26</v>
      </c>
      <c r="X88" s="102">
        <f t="shared" si="12"/>
        <v>3.002552169344419E-4</v>
      </c>
      <c r="Z88" s="346">
        <v>45158</v>
      </c>
      <c r="AA88" s="348">
        <v>4695</v>
      </c>
      <c r="AB88" s="102">
        <f t="shared" si="13"/>
        <v>7.5107296137340018E-3</v>
      </c>
    </row>
    <row r="89" spans="2:28" x14ac:dyDescent="0.25">
      <c r="B89" s="346">
        <v>45151</v>
      </c>
      <c r="C89">
        <v>128.11000000000001</v>
      </c>
      <c r="D89" s="102">
        <f t="shared" si="7"/>
        <v>-1.582545901513388E-2</v>
      </c>
      <c r="F89" s="346">
        <v>45151</v>
      </c>
      <c r="G89">
        <v>283.25</v>
      </c>
      <c r="H89" s="102">
        <f t="shared" si="8"/>
        <v>-6.0966715289749285E-2</v>
      </c>
      <c r="J89" s="346">
        <v>45151</v>
      </c>
      <c r="K89">
        <v>316.48</v>
      </c>
      <c r="L89" s="102">
        <f t="shared" si="9"/>
        <v>-1.4111709915578863E-2</v>
      </c>
      <c r="N89" s="346">
        <v>45151</v>
      </c>
      <c r="O89">
        <v>174.49</v>
      </c>
      <c r="P89" s="102">
        <f t="shared" si="10"/>
        <v>-1.8561223915855685E-2</v>
      </c>
      <c r="R89" s="346">
        <v>45151</v>
      </c>
      <c r="S89">
        <v>141.41</v>
      </c>
      <c r="T89" s="102">
        <f t="shared" si="11"/>
        <v>-1.1948015651201849E-2</v>
      </c>
      <c r="V89" s="346">
        <v>45151</v>
      </c>
      <c r="W89">
        <v>133.22</v>
      </c>
      <c r="X89" s="102">
        <f t="shared" si="12"/>
        <v>-3.7497290658189408E-2</v>
      </c>
      <c r="Z89" s="346">
        <v>45151</v>
      </c>
      <c r="AA89" s="348">
        <v>4660</v>
      </c>
      <c r="AB89" s="102">
        <f t="shared" si="13"/>
        <v>-2.12140306658265E-2</v>
      </c>
    </row>
    <row r="90" spans="2:28" x14ac:dyDescent="0.25">
      <c r="B90" s="346">
        <v>45144</v>
      </c>
      <c r="C90">
        <v>130.16999999999999</v>
      </c>
      <c r="D90" s="102">
        <f t="shared" si="7"/>
        <v>1.2680877547845082E-2</v>
      </c>
      <c r="F90" s="346">
        <v>45144</v>
      </c>
      <c r="G90">
        <v>301.64</v>
      </c>
      <c r="H90" s="102">
        <f t="shared" si="8"/>
        <v>-2.925369291668023E-2</v>
      </c>
      <c r="J90" s="346">
        <v>45144</v>
      </c>
      <c r="K90">
        <v>321.01</v>
      </c>
      <c r="L90" s="102">
        <f t="shared" si="9"/>
        <v>-2.0654097260357496E-2</v>
      </c>
      <c r="N90" s="346">
        <v>45144</v>
      </c>
      <c r="O90">
        <v>177.79</v>
      </c>
      <c r="P90" s="102">
        <f t="shared" si="10"/>
        <v>-2.307819110940168E-2</v>
      </c>
      <c r="R90" s="346">
        <v>45144</v>
      </c>
      <c r="S90">
        <v>143.12</v>
      </c>
      <c r="T90" s="102">
        <f t="shared" si="11"/>
        <v>-7.7648363838047629E-3</v>
      </c>
      <c r="V90" s="346">
        <v>45144</v>
      </c>
      <c r="W90">
        <v>138.41</v>
      </c>
      <c r="X90" s="102">
        <f t="shared" si="12"/>
        <v>-8.3112416708461812E-3</v>
      </c>
      <c r="Z90" s="346">
        <v>45144</v>
      </c>
      <c r="AA90" s="348">
        <v>4761</v>
      </c>
      <c r="AB90" s="102">
        <f t="shared" si="13"/>
        <v>-6.2617407639323774E-3</v>
      </c>
    </row>
    <row r="91" spans="2:28" x14ac:dyDescent="0.25">
      <c r="B91" s="346">
        <v>45137</v>
      </c>
      <c r="C91">
        <v>128.54</v>
      </c>
      <c r="D91" s="102">
        <f t="shared" si="7"/>
        <v>-3.3606495752199095E-2</v>
      </c>
      <c r="F91" s="346">
        <v>45137</v>
      </c>
      <c r="G91">
        <v>310.73</v>
      </c>
      <c r="H91" s="102">
        <f t="shared" si="8"/>
        <v>-4.5317684650362566E-2</v>
      </c>
      <c r="J91" s="346">
        <v>45137</v>
      </c>
      <c r="K91">
        <v>327.78</v>
      </c>
      <c r="L91" s="102">
        <f t="shared" si="9"/>
        <v>-3.1297100806809253E-2</v>
      </c>
      <c r="N91" s="346">
        <v>45137</v>
      </c>
      <c r="O91">
        <v>181.99</v>
      </c>
      <c r="P91" s="102">
        <f t="shared" si="10"/>
        <v>-7.0673543379461745E-2</v>
      </c>
      <c r="R91" s="346">
        <v>45137</v>
      </c>
      <c r="S91">
        <v>144.24</v>
      </c>
      <c r="T91" s="102">
        <f t="shared" si="11"/>
        <v>5.5071453468109599E-3</v>
      </c>
      <c r="V91" s="346">
        <v>45137</v>
      </c>
      <c r="W91">
        <v>139.57</v>
      </c>
      <c r="X91" s="102">
        <f t="shared" si="12"/>
        <v>5.5669011421223713E-2</v>
      </c>
      <c r="Z91" s="346">
        <v>45137</v>
      </c>
      <c r="AA91" s="348">
        <v>4791</v>
      </c>
      <c r="AB91" s="102">
        <f t="shared" si="13"/>
        <v>-2.1845651286239276E-2</v>
      </c>
    </row>
    <row r="92" spans="2:28" x14ac:dyDescent="0.25">
      <c r="B92" s="346">
        <v>45130</v>
      </c>
      <c r="C92">
        <v>133.01</v>
      </c>
      <c r="D92" s="102">
        <f t="shared" si="7"/>
        <v>0.10556063502618218</v>
      </c>
      <c r="F92" s="346">
        <v>45130</v>
      </c>
      <c r="G92">
        <v>325.48</v>
      </c>
      <c r="H92" s="102">
        <f t="shared" si="8"/>
        <v>0.10609664922177675</v>
      </c>
      <c r="J92" s="346">
        <v>45130</v>
      </c>
      <c r="K92">
        <v>338.37</v>
      </c>
      <c r="L92" s="102">
        <f t="shared" si="9"/>
        <v>-1.5708176978793897E-2</v>
      </c>
      <c r="N92" s="346">
        <v>45130</v>
      </c>
      <c r="O92">
        <v>195.83</v>
      </c>
      <c r="P92" s="102">
        <f t="shared" si="10"/>
        <v>2.0266750026049829E-2</v>
      </c>
      <c r="R92" s="346">
        <v>45130</v>
      </c>
      <c r="S92">
        <v>143.44999999999999</v>
      </c>
      <c r="T92" s="102">
        <f t="shared" si="11"/>
        <v>3.2460054699870344E-2</v>
      </c>
      <c r="V92" s="346">
        <v>45130</v>
      </c>
      <c r="W92">
        <v>132.21</v>
      </c>
      <c r="X92" s="102">
        <f t="shared" si="12"/>
        <v>1.7000000000000126E-2</v>
      </c>
      <c r="Z92" s="346">
        <v>45130</v>
      </c>
      <c r="AA92" s="348">
        <v>4898</v>
      </c>
      <c r="AB92" s="102">
        <f t="shared" si="13"/>
        <v>1.1356597150526504E-2</v>
      </c>
    </row>
    <row r="93" spans="2:28" x14ac:dyDescent="0.25">
      <c r="B93" s="346">
        <v>45123</v>
      </c>
      <c r="C93">
        <v>120.31</v>
      </c>
      <c r="D93" s="102">
        <f t="shared" si="7"/>
        <v>-4.2879872712808242E-2</v>
      </c>
      <c r="F93" s="346">
        <v>45123</v>
      </c>
      <c r="G93">
        <v>294.26</v>
      </c>
      <c r="H93" s="102">
        <f t="shared" si="8"/>
        <v>-4.7301453686016792E-2</v>
      </c>
      <c r="J93" s="346">
        <v>45123</v>
      </c>
      <c r="K93">
        <v>343.77</v>
      </c>
      <c r="L93" s="102">
        <f t="shared" si="9"/>
        <v>-4.2579075425791535E-3</v>
      </c>
      <c r="N93" s="346">
        <v>45123</v>
      </c>
      <c r="O93">
        <v>191.94</v>
      </c>
      <c r="P93" s="102">
        <f t="shared" si="10"/>
        <v>6.5551418532696637E-3</v>
      </c>
      <c r="R93" s="346">
        <v>45123</v>
      </c>
      <c r="S93">
        <v>138.94</v>
      </c>
      <c r="T93" s="102">
        <f t="shared" si="11"/>
        <v>4.1529235382308682E-2</v>
      </c>
      <c r="V93" s="346">
        <v>45123</v>
      </c>
      <c r="W93">
        <v>130</v>
      </c>
      <c r="X93" s="102">
        <f t="shared" si="12"/>
        <v>-3.4749034749034791E-2</v>
      </c>
      <c r="Z93" s="346">
        <v>45123</v>
      </c>
      <c r="AA93" s="348">
        <v>4843</v>
      </c>
      <c r="AB93" s="102">
        <f t="shared" si="13"/>
        <v>9.4315043509978214E-3</v>
      </c>
    </row>
    <row r="94" spans="2:28" x14ac:dyDescent="0.25">
      <c r="B94" s="346">
        <v>45116</v>
      </c>
      <c r="C94">
        <v>125.7</v>
      </c>
      <c r="D94" s="102">
        <f t="shared" si="7"/>
        <v>4.6279340769102673E-2</v>
      </c>
      <c r="F94" s="346">
        <v>45116</v>
      </c>
      <c r="G94">
        <v>308.87</v>
      </c>
      <c r="H94" s="102">
        <f t="shared" si="8"/>
        <v>6.3126011083192823E-2</v>
      </c>
      <c r="J94" s="346">
        <v>45116</v>
      </c>
      <c r="K94">
        <v>345.24</v>
      </c>
      <c r="L94" s="102">
        <f t="shared" si="9"/>
        <v>2.3782693790403764E-2</v>
      </c>
      <c r="N94" s="346">
        <v>45116</v>
      </c>
      <c r="O94">
        <v>190.69</v>
      </c>
      <c r="P94" s="102">
        <f t="shared" si="10"/>
        <v>5.2443885042885441E-5</v>
      </c>
      <c r="R94" s="346">
        <v>45116</v>
      </c>
      <c r="S94">
        <v>133.4</v>
      </c>
      <c r="T94" s="102">
        <f t="shared" si="11"/>
        <v>9.9939430648090521E-3</v>
      </c>
      <c r="V94" s="346">
        <v>45116</v>
      </c>
      <c r="W94">
        <v>134.68</v>
      </c>
      <c r="X94" s="102">
        <f t="shared" si="12"/>
        <v>3.7756202804746453E-2</v>
      </c>
      <c r="Z94" s="346">
        <v>45116</v>
      </c>
      <c r="AA94" s="348">
        <v>4797.75</v>
      </c>
      <c r="AB94" s="102">
        <f t="shared" si="13"/>
        <v>2.4503523382447101E-2</v>
      </c>
    </row>
    <row r="95" spans="2:28" x14ac:dyDescent="0.25">
      <c r="B95" s="346">
        <v>45109</v>
      </c>
      <c r="C95">
        <v>120.14</v>
      </c>
      <c r="D95" s="102">
        <f t="shared" si="7"/>
        <v>-6.86120525750189E-3</v>
      </c>
      <c r="F95" s="346">
        <v>45109</v>
      </c>
      <c r="G95">
        <v>290.52999999999997</v>
      </c>
      <c r="H95" s="102">
        <f t="shared" si="8"/>
        <v>1.2370200013938071E-2</v>
      </c>
      <c r="J95" s="346">
        <v>45109</v>
      </c>
      <c r="K95">
        <v>337.22</v>
      </c>
      <c r="L95" s="102">
        <f t="shared" si="9"/>
        <v>-9.7492218241616024E-3</v>
      </c>
      <c r="N95" s="346">
        <v>45109</v>
      </c>
      <c r="O95">
        <v>190.68</v>
      </c>
      <c r="P95" s="102">
        <f t="shared" si="10"/>
        <v>-1.6961385781306348E-2</v>
      </c>
      <c r="R95" s="346">
        <v>45109</v>
      </c>
      <c r="S95">
        <v>132.08000000000001</v>
      </c>
      <c r="T95" s="102">
        <f t="shared" si="11"/>
        <v>-1.2928779612883856E-2</v>
      </c>
      <c r="V95" s="346">
        <v>45109</v>
      </c>
      <c r="W95">
        <v>129.78</v>
      </c>
      <c r="X95" s="102">
        <f t="shared" si="12"/>
        <v>-4.4492175513962673E-3</v>
      </c>
      <c r="Z95" s="346">
        <v>45109</v>
      </c>
      <c r="AA95" s="348">
        <v>4683</v>
      </c>
      <c r="AB95" s="102">
        <f t="shared" si="13"/>
        <v>-1.1399620012666256E-2</v>
      </c>
    </row>
    <row r="96" spans="2:28" x14ac:dyDescent="0.25">
      <c r="B96" s="346">
        <v>45102</v>
      </c>
      <c r="C96">
        <v>120.97</v>
      </c>
      <c r="D96" s="102">
        <f t="shared" si="7"/>
        <v>-1.6663957080149561E-2</v>
      </c>
      <c r="F96" s="346">
        <v>45102</v>
      </c>
      <c r="G96">
        <v>286.98</v>
      </c>
      <c r="H96" s="102">
        <f t="shared" si="8"/>
        <v>-6.0610258719218102E-3</v>
      </c>
      <c r="J96" s="346">
        <v>45102</v>
      </c>
      <c r="K96">
        <v>340.54</v>
      </c>
      <c r="L96" s="102">
        <f t="shared" si="9"/>
        <v>1.6476628260999382E-2</v>
      </c>
      <c r="N96" s="346">
        <v>45102</v>
      </c>
      <c r="O96">
        <v>193.97</v>
      </c>
      <c r="P96" s="102">
        <f t="shared" si="10"/>
        <v>3.9050782086993641E-2</v>
      </c>
      <c r="R96" s="346">
        <v>45102</v>
      </c>
      <c r="S96">
        <v>133.81</v>
      </c>
      <c r="T96" s="102">
        <f t="shared" si="11"/>
        <v>3.3840686085142568E-2</v>
      </c>
      <c r="V96" s="346">
        <v>45102</v>
      </c>
      <c r="W96">
        <v>130.36000000000001</v>
      </c>
      <c r="X96" s="102">
        <f t="shared" si="12"/>
        <v>7.9641227866698028E-3</v>
      </c>
      <c r="Z96" s="346">
        <v>45102</v>
      </c>
      <c r="AA96" s="348">
        <v>4737</v>
      </c>
      <c r="AB96" s="102">
        <f t="shared" si="13"/>
        <v>2.4881003894418052E-2</v>
      </c>
    </row>
    <row r="97" spans="2:28" x14ac:dyDescent="0.25">
      <c r="B97" s="346">
        <v>45095</v>
      </c>
      <c r="C97">
        <v>123.02</v>
      </c>
      <c r="D97" s="102">
        <f t="shared" si="7"/>
        <v>-8.3830404642915024E-3</v>
      </c>
      <c r="F97" s="346">
        <v>45095</v>
      </c>
      <c r="G97">
        <v>288.73</v>
      </c>
      <c r="H97" s="102">
        <f t="shared" si="8"/>
        <v>2.7508896797153071E-2</v>
      </c>
      <c r="J97" s="346">
        <v>45095</v>
      </c>
      <c r="K97">
        <v>335.02</v>
      </c>
      <c r="L97" s="102">
        <f t="shared" si="9"/>
        <v>-2.1353664592644539E-2</v>
      </c>
      <c r="N97" s="346">
        <v>45095</v>
      </c>
      <c r="O97">
        <v>186.68</v>
      </c>
      <c r="P97" s="102">
        <f t="shared" si="10"/>
        <v>9.5176292450791511E-3</v>
      </c>
      <c r="R97" s="346">
        <v>45095</v>
      </c>
      <c r="S97">
        <v>129.43</v>
      </c>
      <c r="T97" s="102">
        <f t="shared" si="11"/>
        <v>-5.8553971486761558E-2</v>
      </c>
      <c r="V97" s="346">
        <v>45095</v>
      </c>
      <c r="W97">
        <v>129.33000000000001</v>
      </c>
      <c r="X97" s="102">
        <f t="shared" si="12"/>
        <v>3.0600047812574749E-2</v>
      </c>
      <c r="Z97" s="346">
        <v>45095</v>
      </c>
      <c r="AA97" s="348">
        <v>4622</v>
      </c>
      <c r="AB97" s="102">
        <f t="shared" si="13"/>
        <v>-1.4078498293515374E-2</v>
      </c>
    </row>
    <row r="98" spans="2:28" x14ac:dyDescent="0.25">
      <c r="B98" s="346">
        <v>45088</v>
      </c>
      <c r="C98">
        <v>124.06</v>
      </c>
      <c r="D98" s="102">
        <f t="shared" si="7"/>
        <v>9.685032961666673E-3</v>
      </c>
      <c r="F98" s="346">
        <v>45088</v>
      </c>
      <c r="G98">
        <v>281</v>
      </c>
      <c r="H98" s="102">
        <f t="shared" si="8"/>
        <v>6.0577467446688127E-2</v>
      </c>
      <c r="J98" s="346">
        <v>45088</v>
      </c>
      <c r="K98">
        <v>342.33</v>
      </c>
      <c r="L98" s="102">
        <f t="shared" si="9"/>
        <v>4.7553474708528221E-2</v>
      </c>
      <c r="N98" s="346">
        <v>45088</v>
      </c>
      <c r="O98">
        <v>184.92</v>
      </c>
      <c r="P98" s="102">
        <f t="shared" si="10"/>
        <v>2.1883289124668304E-2</v>
      </c>
      <c r="R98" s="346">
        <v>45088</v>
      </c>
      <c r="S98">
        <v>137.47999999999999</v>
      </c>
      <c r="T98" s="102">
        <f t="shared" si="11"/>
        <v>1.6112342941611013E-2</v>
      </c>
      <c r="V98" s="346">
        <v>45088</v>
      </c>
      <c r="W98">
        <v>125.49</v>
      </c>
      <c r="X98" s="102">
        <f t="shared" si="12"/>
        <v>1.6689621647897557E-2</v>
      </c>
      <c r="Z98" s="346">
        <v>45088</v>
      </c>
      <c r="AA98" s="348">
        <v>4688</v>
      </c>
      <c r="AB98" s="102">
        <f t="shared" si="13"/>
        <v>2.7169149868536469E-2</v>
      </c>
    </row>
    <row r="99" spans="2:28" x14ac:dyDescent="0.25">
      <c r="B99" s="346">
        <v>45081</v>
      </c>
      <c r="C99">
        <v>122.87</v>
      </c>
      <c r="D99" s="102">
        <f t="shared" si="7"/>
        <v>-1.8845324602730917E-2</v>
      </c>
      <c r="F99" s="346">
        <v>45081</v>
      </c>
      <c r="G99">
        <v>264.95</v>
      </c>
      <c r="H99" s="102">
        <f t="shared" si="8"/>
        <v>-2.8098749128792178E-2</v>
      </c>
      <c r="J99" s="346">
        <v>45081</v>
      </c>
      <c r="K99">
        <v>326.79000000000002</v>
      </c>
      <c r="L99" s="102">
        <f t="shared" si="9"/>
        <v>-2.5670840787119675E-2</v>
      </c>
      <c r="N99" s="346">
        <v>45081</v>
      </c>
      <c r="O99">
        <v>180.96</v>
      </c>
      <c r="P99" s="102">
        <f t="shared" si="10"/>
        <v>5.5263885051282102E-5</v>
      </c>
      <c r="R99" s="346">
        <v>45081</v>
      </c>
      <c r="S99">
        <v>135.30000000000001</v>
      </c>
      <c r="T99" s="102">
        <f t="shared" si="11"/>
        <v>2.1748980516538508E-2</v>
      </c>
      <c r="V99" s="346">
        <v>45081</v>
      </c>
      <c r="W99">
        <v>123.43</v>
      </c>
      <c r="X99" s="102">
        <f t="shared" si="12"/>
        <v>-6.599597585512984E-3</v>
      </c>
      <c r="Z99" s="346">
        <v>45081</v>
      </c>
      <c r="AA99" s="348">
        <v>4564</v>
      </c>
      <c r="AB99" s="102">
        <f t="shared" si="13"/>
        <v>5.6185964525723442E-3</v>
      </c>
    </row>
    <row r="100" spans="2:28" x14ac:dyDescent="0.25">
      <c r="B100" s="346">
        <v>45074</v>
      </c>
      <c r="C100">
        <v>125.23</v>
      </c>
      <c r="D100" s="102">
        <f t="shared" si="7"/>
        <v>-1.5945148688512045E-3</v>
      </c>
      <c r="F100" s="346">
        <v>45074</v>
      </c>
      <c r="G100">
        <v>272.61</v>
      </c>
      <c r="H100" s="102">
        <f t="shared" si="8"/>
        <v>4.0337353075866167E-2</v>
      </c>
      <c r="J100" s="346">
        <v>45074</v>
      </c>
      <c r="K100">
        <v>335.4</v>
      </c>
      <c r="L100" s="102">
        <f t="shared" si="9"/>
        <v>7.5400282375559513E-3</v>
      </c>
      <c r="N100" s="346">
        <v>45074</v>
      </c>
      <c r="O100">
        <v>180.95</v>
      </c>
      <c r="P100" s="102">
        <f t="shared" si="10"/>
        <v>3.1465541811548592E-2</v>
      </c>
      <c r="R100" s="346">
        <v>45074</v>
      </c>
      <c r="S100">
        <v>132.41999999999999</v>
      </c>
      <c r="T100" s="102">
        <f t="shared" si="11"/>
        <v>2.7387694933664442E-2</v>
      </c>
      <c r="V100" s="346">
        <v>45074</v>
      </c>
      <c r="W100">
        <v>124.25</v>
      </c>
      <c r="X100" s="102">
        <f t="shared" si="12"/>
        <v>3.4468403963033856E-2</v>
      </c>
      <c r="Z100" s="346">
        <v>45074</v>
      </c>
      <c r="AA100" s="348">
        <v>4538.5</v>
      </c>
      <c r="AB100" s="102">
        <f t="shared" si="13"/>
        <v>1.7144778126400695E-2</v>
      </c>
    </row>
    <row r="101" spans="2:28" x14ac:dyDescent="0.25">
      <c r="B101" s="346">
        <v>45067</v>
      </c>
      <c r="C101">
        <v>125.43</v>
      </c>
      <c r="D101" s="102">
        <f t="shared" si="7"/>
        <v>1.7687626774848031E-2</v>
      </c>
      <c r="F101" s="346">
        <v>45067</v>
      </c>
      <c r="G101">
        <v>262.04000000000002</v>
      </c>
      <c r="H101" s="102">
        <f t="shared" si="8"/>
        <v>6.6764370623677127E-2</v>
      </c>
      <c r="J101" s="346">
        <v>45067</v>
      </c>
      <c r="K101">
        <v>332.89</v>
      </c>
      <c r="L101" s="102">
        <f t="shared" si="9"/>
        <v>4.5705849092165574E-2</v>
      </c>
      <c r="N101" s="346">
        <v>45067</v>
      </c>
      <c r="O101">
        <v>175.43</v>
      </c>
      <c r="P101" s="102">
        <f t="shared" si="10"/>
        <v>1.5414478191368985E-3</v>
      </c>
      <c r="R101" s="346">
        <v>45067</v>
      </c>
      <c r="S101">
        <v>128.88999999999999</v>
      </c>
      <c r="T101" s="102">
        <f t="shared" si="11"/>
        <v>1.2808423699512739E-2</v>
      </c>
      <c r="V101" s="346">
        <v>45067</v>
      </c>
      <c r="W101">
        <v>120.11</v>
      </c>
      <c r="X101" s="102">
        <f t="shared" si="12"/>
        <v>3.3204301075268727E-2</v>
      </c>
      <c r="Z101" s="346">
        <v>45067</v>
      </c>
      <c r="AA101" s="348">
        <v>4462</v>
      </c>
      <c r="AB101" s="102">
        <f t="shared" si="13"/>
        <v>4.9549549549550154E-3</v>
      </c>
    </row>
    <row r="102" spans="2:28" x14ac:dyDescent="0.25">
      <c r="B102" s="346">
        <v>45060</v>
      </c>
      <c r="C102">
        <v>123.25</v>
      </c>
      <c r="D102" s="102">
        <f t="shared" si="7"/>
        <v>4.5200135685210308E-2</v>
      </c>
      <c r="F102" s="346">
        <v>45060</v>
      </c>
      <c r="G102">
        <v>245.64</v>
      </c>
      <c r="H102" s="102">
        <f t="shared" si="8"/>
        <v>5.0596638296052321E-2</v>
      </c>
      <c r="J102" s="346">
        <v>45060</v>
      </c>
      <c r="K102">
        <v>318.33999999999997</v>
      </c>
      <c r="L102" s="102">
        <f t="shared" si="9"/>
        <v>3.0326568922548924E-2</v>
      </c>
      <c r="N102" s="346">
        <v>45060</v>
      </c>
      <c r="O102">
        <v>175.16</v>
      </c>
      <c r="P102" s="102">
        <f t="shared" si="10"/>
        <v>1.5008402387437059E-2</v>
      </c>
      <c r="R102" s="346">
        <v>45060</v>
      </c>
      <c r="S102">
        <v>127.26</v>
      </c>
      <c r="T102" s="102">
        <f t="shared" si="11"/>
        <v>3.5981764897427659E-2</v>
      </c>
      <c r="V102" s="346">
        <v>45060</v>
      </c>
      <c r="W102">
        <v>116.25</v>
      </c>
      <c r="X102" s="102">
        <f t="shared" si="12"/>
        <v>5.4326138218755649E-2</v>
      </c>
      <c r="Z102" s="346">
        <v>45060</v>
      </c>
      <c r="AA102" s="348">
        <v>4440</v>
      </c>
      <c r="AB102" s="102">
        <f t="shared" si="13"/>
        <v>2.0220588235294157E-2</v>
      </c>
    </row>
    <row r="103" spans="2:28" x14ac:dyDescent="0.25">
      <c r="B103" s="346">
        <v>45053</v>
      </c>
      <c r="C103">
        <v>117.92</v>
      </c>
      <c r="D103" s="102">
        <f t="shared" si="7"/>
        <v>0.11025327181997935</v>
      </c>
      <c r="F103" s="346">
        <v>45053</v>
      </c>
      <c r="G103">
        <v>233.81</v>
      </c>
      <c r="H103" s="102">
        <f t="shared" si="8"/>
        <v>4.4247787610618428E-3</v>
      </c>
      <c r="J103" s="346">
        <v>45053</v>
      </c>
      <c r="K103">
        <v>308.97000000000003</v>
      </c>
      <c r="L103" s="102">
        <f t="shared" si="9"/>
        <v>-5.4080154514725143E-3</v>
      </c>
      <c r="N103" s="346">
        <v>45053</v>
      </c>
      <c r="O103">
        <v>172.57</v>
      </c>
      <c r="P103" s="102">
        <f t="shared" si="10"/>
        <v>-5.7613642910641083E-3</v>
      </c>
      <c r="R103" s="346">
        <v>45053</v>
      </c>
      <c r="S103">
        <v>122.84</v>
      </c>
      <c r="T103" s="102">
        <f t="shared" si="11"/>
        <v>-6.5507480792559303E-3</v>
      </c>
      <c r="V103" s="346">
        <v>45053</v>
      </c>
      <c r="W103">
        <v>110.26</v>
      </c>
      <c r="X103" s="102">
        <f t="shared" si="12"/>
        <v>4.3634642688121117E-2</v>
      </c>
      <c r="Z103" s="346">
        <v>45053</v>
      </c>
      <c r="AA103" s="348">
        <v>4352</v>
      </c>
      <c r="AB103" s="102">
        <f t="shared" si="13"/>
        <v>-2.0637468470534603E-3</v>
      </c>
    </row>
    <row r="104" spans="2:28" x14ac:dyDescent="0.25">
      <c r="B104" s="346">
        <v>45046</v>
      </c>
      <c r="C104">
        <v>106.21</v>
      </c>
      <c r="D104" s="102">
        <f t="shared" si="7"/>
        <v>-1.8573276658658378E-2</v>
      </c>
      <c r="F104" s="346">
        <v>45046</v>
      </c>
      <c r="G104">
        <v>232.78</v>
      </c>
      <c r="H104" s="102">
        <f t="shared" si="8"/>
        <v>-3.1374833555259607E-2</v>
      </c>
      <c r="J104" s="346">
        <v>45046</v>
      </c>
      <c r="K104">
        <v>310.64999999999998</v>
      </c>
      <c r="L104" s="102">
        <f t="shared" si="9"/>
        <v>1.1033001366920425E-2</v>
      </c>
      <c r="N104" s="346">
        <v>45046</v>
      </c>
      <c r="O104">
        <v>173.57</v>
      </c>
      <c r="P104" s="102">
        <f t="shared" si="10"/>
        <v>2.2925506836397824E-2</v>
      </c>
      <c r="R104" s="346">
        <v>45046</v>
      </c>
      <c r="S104">
        <v>123.65</v>
      </c>
      <c r="T104" s="102">
        <f t="shared" si="11"/>
        <v>-2.1833715687050059E-2</v>
      </c>
      <c r="V104" s="346">
        <v>45046</v>
      </c>
      <c r="W104">
        <v>105.65</v>
      </c>
      <c r="X104" s="102">
        <f t="shared" si="12"/>
        <v>1.8966334755807779E-3</v>
      </c>
      <c r="Z104" s="346">
        <v>45046</v>
      </c>
      <c r="AA104" s="348">
        <v>4361</v>
      </c>
      <c r="AB104" s="102">
        <f t="shared" si="13"/>
        <v>-1.0886822408709418E-2</v>
      </c>
    </row>
    <row r="105" spans="2:28" x14ac:dyDescent="0.25">
      <c r="B105" s="346">
        <v>45039</v>
      </c>
      <c r="C105">
        <v>108.22</v>
      </c>
      <c r="D105" s="102">
        <f t="shared" si="7"/>
        <v>2.1810971579643068E-2</v>
      </c>
      <c r="F105" s="346">
        <v>45039</v>
      </c>
      <c r="G105">
        <v>240.32</v>
      </c>
      <c r="H105" s="102">
        <f t="shared" si="8"/>
        <v>0.1288458828502983</v>
      </c>
      <c r="J105" s="346">
        <v>45039</v>
      </c>
      <c r="K105">
        <v>307.26</v>
      </c>
      <c r="L105" s="102">
        <f t="shared" si="9"/>
        <v>7.523796192609189E-2</v>
      </c>
      <c r="N105" s="346">
        <v>45039</v>
      </c>
      <c r="O105">
        <v>169.68</v>
      </c>
      <c r="P105" s="102">
        <f t="shared" si="10"/>
        <v>2.8239001333171698E-2</v>
      </c>
      <c r="R105" s="346">
        <v>45039</v>
      </c>
      <c r="S105">
        <v>126.41</v>
      </c>
      <c r="T105" s="102">
        <f t="shared" si="11"/>
        <v>5.4084148572337565E-3</v>
      </c>
      <c r="V105" s="346">
        <v>45039</v>
      </c>
      <c r="W105">
        <v>105.45</v>
      </c>
      <c r="X105" s="102">
        <f t="shared" si="12"/>
        <v>-1.4117427075542199E-2</v>
      </c>
      <c r="Z105" s="346">
        <v>45039</v>
      </c>
      <c r="AA105" s="348">
        <v>4409</v>
      </c>
      <c r="AB105" s="102">
        <f t="shared" si="13"/>
        <v>5.47320410490304E-3</v>
      </c>
    </row>
    <row r="106" spans="2:28" x14ac:dyDescent="0.25">
      <c r="B106" s="346">
        <v>45032</v>
      </c>
      <c r="C106">
        <v>105.91</v>
      </c>
      <c r="D106" s="102">
        <f t="shared" si="7"/>
        <v>-3.2431938607710542E-2</v>
      </c>
      <c r="F106" s="346">
        <v>45032</v>
      </c>
      <c r="G106">
        <v>212.89</v>
      </c>
      <c r="H106" s="102">
        <f t="shared" si="8"/>
        <v>-3.882793805589424E-2</v>
      </c>
      <c r="J106" s="346">
        <v>45032</v>
      </c>
      <c r="K106">
        <v>285.76</v>
      </c>
      <c r="L106" s="102">
        <f t="shared" si="9"/>
        <v>-1.3280212483399723E-3</v>
      </c>
      <c r="N106" s="346">
        <v>45032</v>
      </c>
      <c r="O106">
        <v>165.02</v>
      </c>
      <c r="P106" s="102">
        <f t="shared" si="10"/>
        <v>-1.1500514496700642E-3</v>
      </c>
      <c r="R106" s="346">
        <v>45032</v>
      </c>
      <c r="S106">
        <v>125.73</v>
      </c>
      <c r="T106" s="102">
        <f t="shared" si="11"/>
        <v>-1.8807554237552537E-2</v>
      </c>
      <c r="V106" s="346">
        <v>45032</v>
      </c>
      <c r="W106">
        <v>106.96</v>
      </c>
      <c r="X106" s="102">
        <f t="shared" si="12"/>
        <v>4.3410398985464616E-2</v>
      </c>
      <c r="Z106" s="346">
        <v>45032</v>
      </c>
      <c r="AA106" s="348">
        <v>4385</v>
      </c>
      <c r="AB106" s="102">
        <f t="shared" si="13"/>
        <v>-2.2799817601459882E-4</v>
      </c>
    </row>
    <row r="107" spans="2:28" x14ac:dyDescent="0.25">
      <c r="B107" s="346">
        <v>45025</v>
      </c>
      <c r="C107">
        <v>109.46</v>
      </c>
      <c r="D107" s="102">
        <f t="shared" si="7"/>
        <v>5.1423324150596805E-3</v>
      </c>
      <c r="F107" s="346">
        <v>45025</v>
      </c>
      <c r="G107">
        <v>221.49</v>
      </c>
      <c r="H107" s="102">
        <f t="shared" si="8"/>
        <v>2.4942156409069938E-2</v>
      </c>
      <c r="J107" s="346">
        <v>45025</v>
      </c>
      <c r="K107">
        <v>286.14</v>
      </c>
      <c r="L107" s="102">
        <f t="shared" si="9"/>
        <v>-1.8724279835391044E-2</v>
      </c>
      <c r="N107" s="346">
        <v>45025</v>
      </c>
      <c r="O107">
        <v>165.21</v>
      </c>
      <c r="P107" s="102">
        <f t="shared" si="10"/>
        <v>3.3402162030851112E-3</v>
      </c>
      <c r="R107" s="346">
        <v>45025</v>
      </c>
      <c r="S107">
        <v>128.13999999999999</v>
      </c>
      <c r="T107" s="102">
        <f t="shared" si="11"/>
        <v>-1.8084291187739576E-2</v>
      </c>
      <c r="V107" s="346">
        <v>45025</v>
      </c>
      <c r="W107">
        <v>102.51</v>
      </c>
      <c r="X107" s="102">
        <f t="shared" si="12"/>
        <v>4.4091710758378255E-3</v>
      </c>
      <c r="Z107" s="346">
        <v>45025</v>
      </c>
      <c r="AA107" s="348">
        <v>4386</v>
      </c>
      <c r="AB107" s="102">
        <f t="shared" si="13"/>
        <v>9.6685082872927097E-3</v>
      </c>
    </row>
    <row r="108" spans="2:28" x14ac:dyDescent="0.25">
      <c r="B108" s="346">
        <v>45018</v>
      </c>
      <c r="C108">
        <v>108.9</v>
      </c>
      <c r="D108" s="102">
        <f t="shared" si="7"/>
        <v>4.711538461538467E-2</v>
      </c>
      <c r="F108" s="346">
        <v>45018</v>
      </c>
      <c r="G108">
        <v>216.1</v>
      </c>
      <c r="H108" s="102">
        <f t="shared" si="8"/>
        <v>1.9628196659431829E-2</v>
      </c>
      <c r="J108" s="346">
        <v>45018</v>
      </c>
      <c r="K108">
        <v>291.60000000000002</v>
      </c>
      <c r="L108" s="102">
        <f t="shared" si="9"/>
        <v>1.144640998959412E-2</v>
      </c>
      <c r="N108" s="346">
        <v>45018</v>
      </c>
      <c r="O108">
        <v>164.66</v>
      </c>
      <c r="P108" s="102">
        <f t="shared" si="10"/>
        <v>-1.4554275318375831E-3</v>
      </c>
      <c r="R108" s="346">
        <v>45018</v>
      </c>
      <c r="S108">
        <v>130.5</v>
      </c>
      <c r="T108" s="102">
        <f t="shared" si="11"/>
        <v>-4.500724692959035E-3</v>
      </c>
      <c r="V108" s="346">
        <v>45018</v>
      </c>
      <c r="W108">
        <v>102.06</v>
      </c>
      <c r="X108" s="102">
        <f t="shared" si="12"/>
        <v>-1.1908219575951229E-2</v>
      </c>
      <c r="Z108" s="346">
        <v>45018</v>
      </c>
      <c r="AA108" s="348">
        <v>4344</v>
      </c>
      <c r="AB108" s="102">
        <f t="shared" si="13"/>
        <v>-4.6019328117807845E-4</v>
      </c>
    </row>
    <row r="109" spans="2:28" x14ac:dyDescent="0.25">
      <c r="B109" s="346">
        <v>45011</v>
      </c>
      <c r="C109">
        <v>104</v>
      </c>
      <c r="D109" s="102">
        <f t="shared" si="7"/>
        <v>-1.9422968131246443E-2</v>
      </c>
      <c r="F109" s="346">
        <v>45011</v>
      </c>
      <c r="G109">
        <v>211.94</v>
      </c>
      <c r="H109" s="102">
        <f t="shared" si="8"/>
        <v>2.8785010436386704E-2</v>
      </c>
      <c r="J109" s="346">
        <v>45011</v>
      </c>
      <c r="K109">
        <v>288.3</v>
      </c>
      <c r="L109" s="102">
        <f t="shared" si="9"/>
        <v>2.7551056777274985E-2</v>
      </c>
      <c r="N109" s="346">
        <v>45011</v>
      </c>
      <c r="O109">
        <v>164.9</v>
      </c>
      <c r="P109" s="102">
        <f t="shared" si="10"/>
        <v>2.9017160686427568E-2</v>
      </c>
      <c r="R109" s="346">
        <v>45011</v>
      </c>
      <c r="S109">
        <v>131.09</v>
      </c>
      <c r="T109" s="102">
        <f t="shared" si="11"/>
        <v>4.6292601165296432E-2</v>
      </c>
      <c r="V109" s="346">
        <v>45011</v>
      </c>
      <c r="W109">
        <v>103.29</v>
      </c>
      <c r="X109" s="102">
        <f t="shared" si="12"/>
        <v>5.2583307856924666E-2</v>
      </c>
      <c r="Z109" s="346">
        <v>45011</v>
      </c>
      <c r="AA109" s="348">
        <v>4346</v>
      </c>
      <c r="AB109" s="102">
        <f t="shared" si="13"/>
        <v>3.7231503579952197E-2</v>
      </c>
    </row>
    <row r="110" spans="2:28" x14ac:dyDescent="0.25">
      <c r="B110" s="346">
        <v>45004</v>
      </c>
      <c r="C110">
        <v>106.06</v>
      </c>
      <c r="D110" s="102">
        <f t="shared" si="7"/>
        <v>3.5135662697638237E-2</v>
      </c>
      <c r="F110" s="346">
        <v>45004</v>
      </c>
      <c r="G110">
        <v>206.01</v>
      </c>
      <c r="H110" s="102">
        <f t="shared" si="8"/>
        <v>5.3167016001226752E-2</v>
      </c>
      <c r="J110" s="346">
        <v>45004</v>
      </c>
      <c r="K110">
        <v>280.57</v>
      </c>
      <c r="L110" s="102">
        <f t="shared" si="9"/>
        <v>4.0797337436924153E-3</v>
      </c>
      <c r="N110" s="346">
        <v>45004</v>
      </c>
      <c r="O110">
        <v>160.25</v>
      </c>
      <c r="P110" s="102">
        <f t="shared" si="10"/>
        <v>3.3870967741935543E-2</v>
      </c>
      <c r="R110" s="346">
        <v>45004</v>
      </c>
      <c r="S110">
        <v>125.29</v>
      </c>
      <c r="T110" s="102">
        <f t="shared" si="11"/>
        <v>1.2935564718247194E-2</v>
      </c>
      <c r="V110" s="346">
        <v>45004</v>
      </c>
      <c r="W110">
        <v>98.13</v>
      </c>
      <c r="X110" s="102">
        <f t="shared" si="12"/>
        <v>-8.2870136432542374E-3</v>
      </c>
      <c r="Z110" s="346">
        <v>45004</v>
      </c>
      <c r="AA110" s="348">
        <v>4190</v>
      </c>
      <c r="AB110" s="102">
        <f t="shared" si="13"/>
        <v>8.0596655840250442E-3</v>
      </c>
    </row>
    <row r="111" spans="2:28" x14ac:dyDescent="0.25">
      <c r="B111" s="346">
        <v>44997</v>
      </c>
      <c r="C111">
        <v>102.46</v>
      </c>
      <c r="D111" s="102">
        <f t="shared" si="7"/>
        <v>0.1258103505109327</v>
      </c>
      <c r="F111" s="346">
        <v>44997</v>
      </c>
      <c r="G111">
        <v>195.61</v>
      </c>
      <c r="H111" s="102">
        <f t="shared" si="8"/>
        <v>8.9688596735558068E-2</v>
      </c>
      <c r="J111" s="346">
        <v>44997</v>
      </c>
      <c r="K111">
        <v>279.43</v>
      </c>
      <c r="L111" s="102">
        <f t="shared" si="9"/>
        <v>0.12405969668932793</v>
      </c>
      <c r="N111" s="346">
        <v>44997</v>
      </c>
      <c r="O111">
        <v>155</v>
      </c>
      <c r="P111" s="102">
        <f t="shared" si="10"/>
        <v>4.3771043771043683E-2</v>
      </c>
      <c r="R111" s="346">
        <v>44997</v>
      </c>
      <c r="S111">
        <v>123.69</v>
      </c>
      <c r="T111" s="102">
        <f t="shared" si="11"/>
        <v>-1.4029493822239947E-2</v>
      </c>
      <c r="V111" s="346">
        <v>44997</v>
      </c>
      <c r="W111">
        <v>98.95</v>
      </c>
      <c r="X111" s="102">
        <f t="shared" si="12"/>
        <v>9.0598479003637156E-2</v>
      </c>
      <c r="Z111" s="346">
        <v>44997</v>
      </c>
      <c r="AA111" s="348">
        <v>4156.5</v>
      </c>
      <c r="AB111" s="102">
        <f t="shared" si="13"/>
        <v>4.8350054393810904E-3</v>
      </c>
    </row>
    <row r="112" spans="2:28" x14ac:dyDescent="0.25">
      <c r="B112" s="346">
        <v>44990</v>
      </c>
      <c r="C112">
        <v>91.01</v>
      </c>
      <c r="D112" s="102">
        <f t="shared" si="7"/>
        <v>-3.2014465007445092E-2</v>
      </c>
      <c r="F112" s="346">
        <v>44990</v>
      </c>
      <c r="G112">
        <v>179.51</v>
      </c>
      <c r="H112" s="102">
        <f t="shared" si="8"/>
        <v>-3.0985155195681569E-2</v>
      </c>
      <c r="J112" s="346">
        <v>44990</v>
      </c>
      <c r="K112">
        <v>248.59</v>
      </c>
      <c r="L112" s="102">
        <f t="shared" si="9"/>
        <v>-2.6244662932351392E-2</v>
      </c>
      <c r="N112" s="346">
        <v>44990</v>
      </c>
      <c r="O112">
        <v>148.5</v>
      </c>
      <c r="P112" s="102">
        <f t="shared" si="10"/>
        <v>-1.6751638747268816E-2</v>
      </c>
      <c r="R112" s="346">
        <v>44990</v>
      </c>
      <c r="S112">
        <v>125.45</v>
      </c>
      <c r="T112" s="102">
        <f t="shared" si="11"/>
        <v>-3.2320271521135369E-2</v>
      </c>
      <c r="V112" s="346">
        <v>44990</v>
      </c>
      <c r="W112">
        <v>90.73</v>
      </c>
      <c r="X112" s="102">
        <f t="shared" si="12"/>
        <v>-4.3940990516333045E-2</v>
      </c>
      <c r="Z112" s="346">
        <v>44990</v>
      </c>
      <c r="AA112" s="348">
        <v>4136.5</v>
      </c>
      <c r="AB112" s="102">
        <f t="shared" si="13"/>
        <v>-4.8205246203405383E-2</v>
      </c>
    </row>
    <row r="113" spans="2:28" x14ac:dyDescent="0.25">
      <c r="B113" s="346">
        <v>44983</v>
      </c>
      <c r="C113">
        <v>94.02</v>
      </c>
      <c r="D113" s="102">
        <f t="shared" si="7"/>
        <v>5.2266368214885395E-2</v>
      </c>
      <c r="F113" s="346">
        <v>44983</v>
      </c>
      <c r="G113">
        <v>185.25</v>
      </c>
      <c r="H113" s="102">
        <f t="shared" si="8"/>
        <v>8.721169082692648E-2</v>
      </c>
      <c r="J113" s="346">
        <v>44983</v>
      </c>
      <c r="K113">
        <v>255.29</v>
      </c>
      <c r="L113" s="102">
        <f t="shared" si="9"/>
        <v>2.4355990690955842E-2</v>
      </c>
      <c r="N113" s="346">
        <v>44983</v>
      </c>
      <c r="O113">
        <v>151.03</v>
      </c>
      <c r="P113" s="102">
        <f t="shared" si="10"/>
        <v>2.9445845545634119E-2</v>
      </c>
      <c r="R113" s="346">
        <v>44983</v>
      </c>
      <c r="S113">
        <v>129.63999999999999</v>
      </c>
      <c r="T113" s="102">
        <f t="shared" si="11"/>
        <v>-7.1226162211840416E-3</v>
      </c>
      <c r="V113" s="346">
        <v>44983</v>
      </c>
      <c r="W113">
        <v>94.9</v>
      </c>
      <c r="X113" s="102">
        <f t="shared" si="12"/>
        <v>1.497326203208571E-2</v>
      </c>
      <c r="Z113" s="346">
        <v>44983</v>
      </c>
      <c r="AA113" s="348">
        <v>4346</v>
      </c>
      <c r="AB113" s="102">
        <f t="shared" si="13"/>
        <v>1.7322097378277057E-2</v>
      </c>
    </row>
    <row r="114" spans="2:28" x14ac:dyDescent="0.25">
      <c r="B114" s="346">
        <v>44976</v>
      </c>
      <c r="C114">
        <v>89.35</v>
      </c>
      <c r="D114" s="102">
        <f t="shared" si="7"/>
        <v>-5.5396976424569311E-2</v>
      </c>
      <c r="F114" s="346">
        <v>44976</v>
      </c>
      <c r="G114">
        <v>170.39</v>
      </c>
      <c r="H114" s="102">
        <f t="shared" si="8"/>
        <v>-1.4403054141601146E-2</v>
      </c>
      <c r="J114" s="346">
        <v>44976</v>
      </c>
      <c r="K114">
        <v>249.22</v>
      </c>
      <c r="L114" s="102">
        <f t="shared" si="9"/>
        <v>-3.4255599472990839E-2</v>
      </c>
      <c r="N114" s="346">
        <v>44976</v>
      </c>
      <c r="O114">
        <v>146.71</v>
      </c>
      <c r="P114" s="102">
        <f t="shared" si="10"/>
        <v>-3.8282530317928609E-2</v>
      </c>
      <c r="R114" s="346">
        <v>44976</v>
      </c>
      <c r="S114">
        <v>130.57</v>
      </c>
      <c r="T114" s="102">
        <f t="shared" si="11"/>
        <v>-3.2958080284402391E-2</v>
      </c>
      <c r="V114" s="346">
        <v>44976</v>
      </c>
      <c r="W114">
        <v>93.5</v>
      </c>
      <c r="X114" s="102">
        <f t="shared" si="12"/>
        <v>-3.8065843621399198E-2</v>
      </c>
      <c r="Z114" s="346">
        <v>44976</v>
      </c>
      <c r="AA114" s="348">
        <v>4272</v>
      </c>
      <c r="AB114" s="102">
        <f t="shared" si="13"/>
        <v>-2.6213813540004516E-2</v>
      </c>
    </row>
    <row r="115" spans="2:28" x14ac:dyDescent="0.25">
      <c r="B115" s="346">
        <v>44969</v>
      </c>
      <c r="C115">
        <v>94.59</v>
      </c>
      <c r="D115" s="102">
        <f t="shared" si="7"/>
        <v>-2.8462998102466441E-3</v>
      </c>
      <c r="F115" s="346">
        <v>44969</v>
      </c>
      <c r="G115">
        <v>172.88</v>
      </c>
      <c r="H115" s="102">
        <f t="shared" si="8"/>
        <v>-7.2925638817111782E-3</v>
      </c>
      <c r="J115" s="346">
        <v>44969</v>
      </c>
      <c r="K115">
        <v>258.06</v>
      </c>
      <c r="L115" s="102">
        <f t="shared" si="9"/>
        <v>-1.9156214367160862E-2</v>
      </c>
      <c r="N115" s="346">
        <v>44969</v>
      </c>
      <c r="O115">
        <v>152.55000000000001</v>
      </c>
      <c r="P115" s="102">
        <f t="shared" si="10"/>
        <v>1.0198000132441765E-2</v>
      </c>
      <c r="R115" s="346">
        <v>44969</v>
      </c>
      <c r="S115">
        <v>135.02000000000001</v>
      </c>
      <c r="T115" s="102">
        <f t="shared" si="11"/>
        <v>-4.2772861356931147E-3</v>
      </c>
      <c r="V115" s="346">
        <v>44969</v>
      </c>
      <c r="W115">
        <v>97.2</v>
      </c>
      <c r="X115" s="102">
        <f t="shared" si="12"/>
        <v>-4.2003893043744966E-3</v>
      </c>
      <c r="Z115" s="346">
        <v>44969</v>
      </c>
      <c r="AA115" s="348">
        <v>4387</v>
      </c>
      <c r="AB115" s="102">
        <f t="shared" si="13"/>
        <v>2.2846698652043695E-3</v>
      </c>
    </row>
    <row r="116" spans="2:28" x14ac:dyDescent="0.25">
      <c r="B116" s="346">
        <v>44962</v>
      </c>
      <c r="C116">
        <v>94.86</v>
      </c>
      <c r="D116" s="102">
        <f t="shared" si="7"/>
        <v>-9.8460368751188021E-2</v>
      </c>
      <c r="F116" s="346">
        <v>44962</v>
      </c>
      <c r="G116">
        <v>174.15</v>
      </c>
      <c r="H116" s="102">
        <f t="shared" si="8"/>
        <v>-6.6370020908164906E-2</v>
      </c>
      <c r="J116" s="346">
        <v>44962</v>
      </c>
      <c r="K116">
        <v>263.10000000000002</v>
      </c>
      <c r="L116" s="102">
        <f t="shared" si="9"/>
        <v>1.8385910586413701E-2</v>
      </c>
      <c r="N116" s="346">
        <v>44962</v>
      </c>
      <c r="O116">
        <v>151.01</v>
      </c>
      <c r="P116" s="102">
        <f t="shared" si="10"/>
        <v>-2.2588996763754143E-2</v>
      </c>
      <c r="R116" s="346">
        <v>44962</v>
      </c>
      <c r="S116">
        <v>135.6</v>
      </c>
      <c r="T116" s="102">
        <f t="shared" si="11"/>
        <v>-9.7853074339127044E-3</v>
      </c>
      <c r="V116" s="346">
        <v>44962</v>
      </c>
      <c r="W116">
        <v>97.61</v>
      </c>
      <c r="X116" s="102">
        <f t="shared" si="12"/>
        <v>-5.5904826385530515E-2</v>
      </c>
      <c r="Z116" s="346">
        <v>44962</v>
      </c>
      <c r="AA116" s="348">
        <v>4377</v>
      </c>
      <c r="AB116" s="102">
        <f t="shared" si="13"/>
        <v>-8.6070215175537701E-3</v>
      </c>
    </row>
    <row r="117" spans="2:28" x14ac:dyDescent="0.25">
      <c r="B117" s="346">
        <v>44955</v>
      </c>
      <c r="C117">
        <v>105.22</v>
      </c>
      <c r="D117" s="102">
        <f t="shared" si="7"/>
        <v>4.4782047463012731E-2</v>
      </c>
      <c r="F117" s="346">
        <v>44955</v>
      </c>
      <c r="G117">
        <v>186.53</v>
      </c>
      <c r="H117" s="102">
        <f t="shared" si="8"/>
        <v>0.22927375774350867</v>
      </c>
      <c r="J117" s="346">
        <v>44955</v>
      </c>
      <c r="K117">
        <v>258.35000000000002</v>
      </c>
      <c r="L117" s="102">
        <f t="shared" si="9"/>
        <v>4.1062217923920175E-2</v>
      </c>
      <c r="N117" s="346">
        <v>44955</v>
      </c>
      <c r="O117">
        <v>154.5</v>
      </c>
      <c r="P117" s="102">
        <f t="shared" si="10"/>
        <v>5.872678681559651E-2</v>
      </c>
      <c r="R117" s="346">
        <v>44955</v>
      </c>
      <c r="S117">
        <v>136.94</v>
      </c>
      <c r="T117" s="102">
        <f t="shared" si="11"/>
        <v>1.8974626088250623E-2</v>
      </c>
      <c r="V117" s="346">
        <v>44955</v>
      </c>
      <c r="W117">
        <v>103.39</v>
      </c>
      <c r="X117" s="102">
        <f t="shared" si="12"/>
        <v>1.1248043818466336E-2</v>
      </c>
      <c r="Z117" s="346">
        <v>44955</v>
      </c>
      <c r="AA117" s="348">
        <v>4415</v>
      </c>
      <c r="AB117" s="102">
        <f t="shared" si="13"/>
        <v>1.7984782107447472E-2</v>
      </c>
    </row>
    <row r="118" spans="2:28" x14ac:dyDescent="0.25">
      <c r="B118" s="346">
        <v>44948</v>
      </c>
      <c r="C118">
        <v>100.71</v>
      </c>
      <c r="D118" s="102">
        <f t="shared" si="7"/>
        <v>1.4403706688154605E-2</v>
      </c>
      <c r="F118" s="346">
        <v>44948</v>
      </c>
      <c r="G118">
        <v>151.74</v>
      </c>
      <c r="H118" s="102">
        <f t="shared" si="8"/>
        <v>8.8756547320083312E-2</v>
      </c>
      <c r="J118" s="346">
        <v>44948</v>
      </c>
      <c r="K118">
        <v>248.16</v>
      </c>
      <c r="L118" s="102">
        <f t="shared" si="9"/>
        <v>3.3053034718175001E-2</v>
      </c>
      <c r="N118" s="346">
        <v>44948</v>
      </c>
      <c r="O118">
        <v>145.93</v>
      </c>
      <c r="P118" s="102">
        <f t="shared" si="10"/>
        <v>5.846086893450364E-2</v>
      </c>
      <c r="R118" s="346">
        <v>44948</v>
      </c>
      <c r="S118">
        <v>134.38999999999999</v>
      </c>
      <c r="T118" s="102">
        <f t="shared" si="11"/>
        <v>-4.8229461756373992E-2</v>
      </c>
      <c r="V118" s="346">
        <v>44948</v>
      </c>
      <c r="W118">
        <v>102.24</v>
      </c>
      <c r="X118" s="102">
        <f t="shared" si="12"/>
        <v>5.1311053984575805E-2</v>
      </c>
      <c r="Z118" s="346">
        <v>44948</v>
      </c>
      <c r="AA118" s="348">
        <v>4337</v>
      </c>
      <c r="AB118" s="102">
        <f t="shared" si="13"/>
        <v>2.5295508274231659E-2</v>
      </c>
    </row>
    <row r="119" spans="2:28" x14ac:dyDescent="0.25">
      <c r="B119" s="346">
        <v>44941</v>
      </c>
      <c r="C119">
        <v>99.28</v>
      </c>
      <c r="D119" s="102">
        <f t="shared" si="7"/>
        <v>6.9827586206896664E-2</v>
      </c>
      <c r="F119" s="346">
        <v>44941</v>
      </c>
      <c r="G119">
        <v>139.37</v>
      </c>
      <c r="H119" s="102">
        <f t="shared" si="8"/>
        <v>1.7447802598919759E-2</v>
      </c>
      <c r="J119" s="346">
        <v>44941</v>
      </c>
      <c r="K119">
        <v>240.22</v>
      </c>
      <c r="L119" s="102">
        <f t="shared" si="9"/>
        <v>4.1382769719517931E-3</v>
      </c>
      <c r="N119" s="346">
        <v>44941</v>
      </c>
      <c r="O119">
        <v>137.87</v>
      </c>
      <c r="P119" s="102">
        <f t="shared" si="10"/>
        <v>2.3078064707628521E-2</v>
      </c>
      <c r="R119" s="346">
        <v>44941</v>
      </c>
      <c r="S119">
        <v>141.19999999999999</v>
      </c>
      <c r="T119" s="102">
        <f t="shared" si="11"/>
        <v>-3.2147508396737301E-2</v>
      </c>
      <c r="V119" s="346">
        <v>44941</v>
      </c>
      <c r="W119">
        <v>97.25</v>
      </c>
      <c r="X119" s="102">
        <f t="shared" si="12"/>
        <v>-8.8666938442724108E-3</v>
      </c>
      <c r="Z119" s="346">
        <v>44941</v>
      </c>
      <c r="AA119" s="348">
        <v>4230</v>
      </c>
      <c r="AB119" s="102">
        <f t="shared" si="13"/>
        <v>-7.2752874911992116E-3</v>
      </c>
    </row>
    <row r="120" spans="2:28" x14ac:dyDescent="0.25">
      <c r="B120" s="346">
        <v>44934</v>
      </c>
      <c r="C120">
        <v>92.8</v>
      </c>
      <c r="D120" s="102">
        <f t="shared" si="7"/>
        <v>5.2631578947368363E-2</v>
      </c>
      <c r="F120" s="346">
        <v>44934</v>
      </c>
      <c r="G120">
        <v>136.97999999999999</v>
      </c>
      <c r="H120" s="102">
        <f t="shared" si="8"/>
        <v>5.3530226119058444E-2</v>
      </c>
      <c r="J120" s="346">
        <v>44934</v>
      </c>
      <c r="K120">
        <v>239.23</v>
      </c>
      <c r="L120" s="102">
        <f t="shared" si="9"/>
        <v>6.3575334548526152E-2</v>
      </c>
      <c r="N120" s="346">
        <v>44934</v>
      </c>
      <c r="O120">
        <v>134.76</v>
      </c>
      <c r="P120" s="102">
        <f t="shared" si="10"/>
        <v>3.9654374324949782E-2</v>
      </c>
      <c r="R120" s="346">
        <v>44934</v>
      </c>
      <c r="S120">
        <v>145.88999999999999</v>
      </c>
      <c r="T120" s="102">
        <f t="shared" si="11"/>
        <v>1.5240083507306768E-2</v>
      </c>
      <c r="V120" s="346">
        <v>44934</v>
      </c>
      <c r="W120">
        <v>98.12</v>
      </c>
      <c r="X120" s="102">
        <f t="shared" si="12"/>
        <v>0.13986988847583648</v>
      </c>
      <c r="Z120" s="346">
        <v>44934</v>
      </c>
      <c r="AA120" s="348">
        <v>4261</v>
      </c>
      <c r="AB120" s="102">
        <f t="shared" si="13"/>
        <v>2.5018041857108431E-2</v>
      </c>
    </row>
    <row r="121" spans="2:28" x14ac:dyDescent="0.25">
      <c r="B121" s="346">
        <v>44927</v>
      </c>
      <c r="C121">
        <v>88.16</v>
      </c>
      <c r="D121" s="102">
        <f t="shared" si="7"/>
        <v>-6.4239828693790635E-3</v>
      </c>
      <c r="F121" s="346">
        <v>44927</v>
      </c>
      <c r="G121">
        <v>130.02000000000001</v>
      </c>
      <c r="H121" s="102">
        <f t="shared" si="8"/>
        <v>8.0438756855575999E-2</v>
      </c>
      <c r="J121" s="346">
        <v>44927</v>
      </c>
      <c r="K121">
        <v>224.93</v>
      </c>
      <c r="L121" s="102">
        <f t="shared" si="9"/>
        <v>-6.2088232841297608E-2</v>
      </c>
      <c r="N121" s="346">
        <v>44927</v>
      </c>
      <c r="O121">
        <v>129.62</v>
      </c>
      <c r="P121" s="102">
        <f t="shared" si="10"/>
        <v>-2.385900100053906E-3</v>
      </c>
      <c r="R121" s="346">
        <v>44927</v>
      </c>
      <c r="S121">
        <v>143.69999999999999</v>
      </c>
      <c r="T121" s="102">
        <f t="shared" si="11"/>
        <v>1.9944637660586295E-2</v>
      </c>
      <c r="V121" s="346">
        <v>44927</v>
      </c>
      <c r="W121">
        <v>86.08</v>
      </c>
      <c r="X121" s="102">
        <f t="shared" si="12"/>
        <v>2.4761904761904763E-2</v>
      </c>
      <c r="Z121" s="346">
        <v>44927</v>
      </c>
      <c r="AA121" s="348">
        <v>4157</v>
      </c>
      <c r="AB121" s="102">
        <f t="shared" si="13"/>
        <v>1.2174336498660843E-2</v>
      </c>
    </row>
    <row r="122" spans="2:28" x14ac:dyDescent="0.25">
      <c r="B122" s="346">
        <v>44920</v>
      </c>
      <c r="C122">
        <v>88.73</v>
      </c>
      <c r="D122" s="102">
        <f t="shared" si="7"/>
        <v>-1.2025386927958959E-2</v>
      </c>
      <c r="F122" s="346">
        <v>44920</v>
      </c>
      <c r="G122">
        <v>120.34</v>
      </c>
      <c r="H122" s="102">
        <f t="shared" si="8"/>
        <v>1.9484920365977709E-2</v>
      </c>
      <c r="J122" s="346">
        <v>44920</v>
      </c>
      <c r="K122">
        <v>239.82</v>
      </c>
      <c r="L122" s="102">
        <f t="shared" si="9"/>
        <v>4.5658275038746865E-3</v>
      </c>
      <c r="N122" s="346">
        <v>44920</v>
      </c>
      <c r="O122">
        <v>129.93</v>
      </c>
      <c r="P122" s="102">
        <f t="shared" si="10"/>
        <v>-1.4636735932049172E-2</v>
      </c>
      <c r="R122" s="346">
        <v>44920</v>
      </c>
      <c r="S122">
        <v>140.88999999999999</v>
      </c>
      <c r="T122" s="102">
        <f t="shared" si="11"/>
        <v>-5.3653370984823034E-3</v>
      </c>
      <c r="V122" s="346">
        <v>44920</v>
      </c>
      <c r="W122">
        <v>84</v>
      </c>
      <c r="X122" s="102">
        <f t="shared" si="12"/>
        <v>-1.4662756598240456E-2</v>
      </c>
      <c r="Z122" s="346">
        <v>44920</v>
      </c>
      <c r="AA122" s="348">
        <v>4107</v>
      </c>
      <c r="AB122" s="102">
        <f t="shared" si="13"/>
        <v>1.7073170731707332E-3</v>
      </c>
    </row>
    <row r="123" spans="2:28" x14ac:dyDescent="0.25">
      <c r="B123" s="346">
        <v>44913</v>
      </c>
      <c r="C123">
        <v>89.81</v>
      </c>
      <c r="D123" s="102">
        <f t="shared" si="7"/>
        <v>-1.1556240369799631E-2</v>
      </c>
      <c r="F123" s="346">
        <v>44913</v>
      </c>
      <c r="G123">
        <v>118.04</v>
      </c>
      <c r="H123" s="102">
        <f t="shared" si="8"/>
        <v>-1.163861676295741E-2</v>
      </c>
      <c r="J123" s="346">
        <v>44913</v>
      </c>
      <c r="K123">
        <v>238.73</v>
      </c>
      <c r="L123" s="102">
        <f t="shared" si="9"/>
        <v>-2.4357350116473886E-2</v>
      </c>
      <c r="N123" s="346">
        <v>44913</v>
      </c>
      <c r="O123">
        <v>131.86000000000001</v>
      </c>
      <c r="P123" s="102">
        <f t="shared" si="10"/>
        <v>-1.970113746189861E-2</v>
      </c>
      <c r="R123" s="346">
        <v>44913</v>
      </c>
      <c r="S123">
        <v>141.65</v>
      </c>
      <c r="T123" s="102">
        <f t="shared" si="11"/>
        <v>1.0630707762557146E-2</v>
      </c>
      <c r="V123" s="346">
        <v>44913</v>
      </c>
      <c r="W123">
        <v>85.25</v>
      </c>
      <c r="X123" s="102">
        <f t="shared" si="12"/>
        <v>-2.9706351012975141E-2</v>
      </c>
      <c r="Z123" s="346">
        <v>44913</v>
      </c>
      <c r="AA123" s="348">
        <v>4100</v>
      </c>
      <c r="AB123" s="102">
        <f t="shared" si="13"/>
        <v>-2.4330900243308973E-3</v>
      </c>
    </row>
    <row r="124" spans="2:28" x14ac:dyDescent="0.25">
      <c r="B124" s="346">
        <v>44906</v>
      </c>
      <c r="C124">
        <v>90.86</v>
      </c>
      <c r="D124" s="102">
        <f t="shared" si="7"/>
        <v>-2.3745567852154204E-2</v>
      </c>
      <c r="F124" s="346">
        <v>44906</v>
      </c>
      <c r="G124">
        <v>119.43</v>
      </c>
      <c r="H124" s="102">
        <f t="shared" si="8"/>
        <v>3.0457290767903267E-2</v>
      </c>
      <c r="J124" s="346">
        <v>44906</v>
      </c>
      <c r="K124">
        <v>244.69</v>
      </c>
      <c r="L124" s="102">
        <f t="shared" si="9"/>
        <v>-2.974492706380838E-3</v>
      </c>
      <c r="N124" s="346">
        <v>44906</v>
      </c>
      <c r="O124">
        <v>134.51</v>
      </c>
      <c r="P124" s="102">
        <f t="shared" si="10"/>
        <v>-5.3812605514912848E-2</v>
      </c>
      <c r="R124" s="346">
        <v>44906</v>
      </c>
      <c r="S124">
        <v>140.16</v>
      </c>
      <c r="T124" s="102">
        <f t="shared" si="11"/>
        <v>-4.6854811288677412E-2</v>
      </c>
      <c r="V124" s="346">
        <v>44906</v>
      </c>
      <c r="W124">
        <v>87.86</v>
      </c>
      <c r="X124" s="102">
        <f t="shared" si="12"/>
        <v>-1.3806263329217638E-2</v>
      </c>
      <c r="Z124" s="346">
        <v>44906</v>
      </c>
      <c r="AA124" s="348">
        <v>4110</v>
      </c>
      <c r="AB124" s="102">
        <f t="shared" si="13"/>
        <v>-2.0495710200190698E-2</v>
      </c>
    </row>
    <row r="125" spans="2:28" x14ac:dyDescent="0.25">
      <c r="B125" s="346">
        <v>44899</v>
      </c>
      <c r="C125">
        <v>93.07</v>
      </c>
      <c r="D125" s="102">
        <f t="shared" si="7"/>
        <v>-7.6961221858573903E-2</v>
      </c>
      <c r="F125" s="346">
        <v>44899</v>
      </c>
      <c r="G125">
        <v>115.9</v>
      </c>
      <c r="H125" s="102">
        <f t="shared" si="8"/>
        <v>-6.1462466596485466E-2</v>
      </c>
      <c r="J125" s="346">
        <v>44899</v>
      </c>
      <c r="K125">
        <v>245.42</v>
      </c>
      <c r="L125" s="102">
        <f t="shared" si="9"/>
        <v>-3.764410634460047E-2</v>
      </c>
      <c r="N125" s="346">
        <v>44899</v>
      </c>
      <c r="O125">
        <v>142.16</v>
      </c>
      <c r="P125" s="102">
        <f t="shared" si="10"/>
        <v>-3.8224747987281038E-2</v>
      </c>
      <c r="R125" s="346">
        <v>44899</v>
      </c>
      <c r="S125">
        <v>147.05000000000001</v>
      </c>
      <c r="T125" s="102">
        <f t="shared" si="11"/>
        <v>-1.0896616667787518E-2</v>
      </c>
      <c r="V125" s="346">
        <v>44899</v>
      </c>
      <c r="W125">
        <v>89.09</v>
      </c>
      <c r="X125" s="102">
        <f t="shared" si="12"/>
        <v>-5.3542972484861284E-2</v>
      </c>
      <c r="Z125" s="346">
        <v>44899</v>
      </c>
      <c r="AA125" s="348">
        <v>4196</v>
      </c>
      <c r="AB125" s="102">
        <f t="shared" si="13"/>
        <v>-3.3625057577153394E-2</v>
      </c>
    </row>
    <row r="126" spans="2:28" x14ac:dyDescent="0.25">
      <c r="B126" s="346">
        <v>44892</v>
      </c>
      <c r="C126">
        <v>100.83</v>
      </c>
      <c r="D126" s="102">
        <f t="shared" si="7"/>
        <v>3.3094262295082055E-2</v>
      </c>
      <c r="F126" s="346">
        <v>44892</v>
      </c>
      <c r="G126">
        <v>123.49</v>
      </c>
      <c r="H126" s="102">
        <f t="shared" si="8"/>
        <v>0.10842832779822276</v>
      </c>
      <c r="J126" s="346">
        <v>44892</v>
      </c>
      <c r="K126">
        <v>255.02</v>
      </c>
      <c r="L126" s="102">
        <f t="shared" si="9"/>
        <v>3.0425471736231779E-2</v>
      </c>
      <c r="N126" s="346">
        <v>44892</v>
      </c>
      <c r="O126">
        <v>147.81</v>
      </c>
      <c r="P126" s="102">
        <f t="shared" si="10"/>
        <v>-2.0255215718048003E-3</v>
      </c>
      <c r="R126" s="346">
        <v>44892</v>
      </c>
      <c r="S126">
        <v>148.66999999999999</v>
      </c>
      <c r="T126" s="102">
        <f t="shared" si="11"/>
        <v>2.0219720967848964E-3</v>
      </c>
      <c r="V126" s="346">
        <v>44892</v>
      </c>
      <c r="W126">
        <v>94.13</v>
      </c>
      <c r="X126" s="102">
        <f t="shared" si="12"/>
        <v>7.7079541804945251E-3</v>
      </c>
      <c r="Z126" s="346">
        <v>44892</v>
      </c>
      <c r="AA126" s="348">
        <v>4342</v>
      </c>
      <c r="AB126" s="102">
        <f t="shared" si="13"/>
        <v>6.2572421784472532E-3</v>
      </c>
    </row>
    <row r="127" spans="2:28" x14ac:dyDescent="0.25">
      <c r="B127" s="346">
        <v>44885</v>
      </c>
      <c r="C127">
        <v>97.6</v>
      </c>
      <c r="D127" s="102">
        <f t="shared" si="7"/>
        <v>-2.044989775051187E-3</v>
      </c>
      <c r="F127" s="346">
        <v>44885</v>
      </c>
      <c r="G127">
        <v>111.41</v>
      </c>
      <c r="H127" s="102">
        <f t="shared" si="8"/>
        <v>-5.7117358322177347E-3</v>
      </c>
      <c r="J127" s="346">
        <v>44885</v>
      </c>
      <c r="K127">
        <v>247.49</v>
      </c>
      <c r="L127" s="102">
        <f t="shared" si="9"/>
        <v>2.5992869579636979E-2</v>
      </c>
      <c r="N127" s="346">
        <v>44885</v>
      </c>
      <c r="O127">
        <v>148.11000000000001</v>
      </c>
      <c r="P127" s="102">
        <f t="shared" si="10"/>
        <v>-2.1019234582589585E-2</v>
      </c>
      <c r="R127" s="346">
        <v>44885</v>
      </c>
      <c r="S127">
        <v>148.37</v>
      </c>
      <c r="T127" s="102">
        <f t="shared" si="11"/>
        <v>4.9444594960716959E-3</v>
      </c>
      <c r="V127" s="346">
        <v>44885</v>
      </c>
      <c r="W127">
        <v>93.41</v>
      </c>
      <c r="X127" s="102">
        <f t="shared" si="12"/>
        <v>-7.7544083280220999E-3</v>
      </c>
      <c r="Z127" s="346">
        <v>44885</v>
      </c>
      <c r="AA127" s="348">
        <v>4315</v>
      </c>
      <c r="AB127" s="102">
        <f t="shared" si="13"/>
        <v>1.7928756782259914E-2</v>
      </c>
    </row>
    <row r="128" spans="2:28" x14ac:dyDescent="0.25">
      <c r="B128" s="346">
        <v>44878</v>
      </c>
      <c r="C128">
        <v>97.8</v>
      </c>
      <c r="D128" s="102">
        <f t="shared" si="7"/>
        <v>1.1061718184637526E-2</v>
      </c>
      <c r="F128" s="346">
        <v>44878</v>
      </c>
      <c r="G128">
        <v>112.05</v>
      </c>
      <c r="H128" s="102">
        <f t="shared" si="8"/>
        <v>-8.5825517607502899E-3</v>
      </c>
      <c r="J128" s="346">
        <v>44878</v>
      </c>
      <c r="K128">
        <v>241.22</v>
      </c>
      <c r="L128" s="102">
        <f t="shared" si="9"/>
        <v>-2.3835538828861691E-2</v>
      </c>
      <c r="N128" s="346">
        <v>44878</v>
      </c>
      <c r="O128">
        <v>151.29</v>
      </c>
      <c r="P128" s="102">
        <f t="shared" si="10"/>
        <v>1.0621242484969873E-2</v>
      </c>
      <c r="R128" s="346">
        <v>44878</v>
      </c>
      <c r="S128">
        <v>147.63999999999999</v>
      </c>
      <c r="T128" s="102">
        <f t="shared" si="11"/>
        <v>3.122162464203404E-2</v>
      </c>
      <c r="V128" s="346">
        <v>44878</v>
      </c>
      <c r="W128">
        <v>94.14</v>
      </c>
      <c r="X128" s="102">
        <f t="shared" si="12"/>
        <v>-6.5978767734894417E-2</v>
      </c>
      <c r="Z128" s="346">
        <v>44878</v>
      </c>
      <c r="AA128" s="348">
        <v>4239</v>
      </c>
      <c r="AB128" s="102">
        <f t="shared" si="13"/>
        <v>-5.8630393996247365E-3</v>
      </c>
    </row>
    <row r="129" spans="2:28" x14ac:dyDescent="0.25">
      <c r="B129" s="346">
        <v>44871</v>
      </c>
      <c r="C129">
        <v>96.73</v>
      </c>
      <c r="D129" s="102">
        <f t="shared" si="7"/>
        <v>0.11568627450980395</v>
      </c>
      <c r="F129" s="346">
        <v>44871</v>
      </c>
      <c r="G129">
        <v>113.02</v>
      </c>
      <c r="H129" s="102">
        <f t="shared" si="8"/>
        <v>0.24485075448837956</v>
      </c>
      <c r="J129" s="346">
        <v>44871</v>
      </c>
      <c r="K129">
        <v>247.11</v>
      </c>
      <c r="L129" s="102">
        <f t="shared" si="9"/>
        <v>0.11617507565834062</v>
      </c>
      <c r="N129" s="346">
        <v>44871</v>
      </c>
      <c r="O129">
        <v>149.69999999999999</v>
      </c>
      <c r="P129" s="102">
        <f t="shared" si="10"/>
        <v>8.1803728862552383E-2</v>
      </c>
      <c r="R129" s="346">
        <v>44871</v>
      </c>
      <c r="S129">
        <v>143.16999999999999</v>
      </c>
      <c r="T129" s="102">
        <f t="shared" si="11"/>
        <v>4.5341705607476523E-2</v>
      </c>
      <c r="V129" s="346">
        <v>44871</v>
      </c>
      <c r="W129">
        <v>100.79</v>
      </c>
      <c r="X129" s="102">
        <f t="shared" si="12"/>
        <v>0.107825895801275</v>
      </c>
      <c r="Z129" s="346">
        <v>44871</v>
      </c>
      <c r="AA129" s="348">
        <v>4264</v>
      </c>
      <c r="AB129" s="102">
        <f t="shared" si="13"/>
        <v>5.2579609972846164E-2</v>
      </c>
    </row>
    <row r="130" spans="2:28" x14ac:dyDescent="0.25">
      <c r="B130" s="346">
        <v>44864</v>
      </c>
      <c r="C130">
        <v>86.7</v>
      </c>
      <c r="D130" s="102">
        <f t="shared" si="7"/>
        <v>-0.10229861254918193</v>
      </c>
      <c r="F130" s="346">
        <v>44864</v>
      </c>
      <c r="G130">
        <v>90.79</v>
      </c>
      <c r="H130" s="102">
        <f t="shared" si="8"/>
        <v>-8.4778225806451557E-2</v>
      </c>
      <c r="J130" s="346">
        <v>44864</v>
      </c>
      <c r="K130">
        <v>221.39</v>
      </c>
      <c r="L130" s="102">
        <f t="shared" si="9"/>
        <v>-6.138974859032531E-2</v>
      </c>
      <c r="N130" s="346">
        <v>44864</v>
      </c>
      <c r="O130">
        <v>138.38</v>
      </c>
      <c r="P130" s="102">
        <f t="shared" si="10"/>
        <v>-0.11146783100038538</v>
      </c>
      <c r="R130" s="346">
        <v>44864</v>
      </c>
      <c r="S130">
        <v>136.96</v>
      </c>
      <c r="T130" s="102">
        <f t="shared" si="11"/>
        <v>-1.1190527759728397E-2</v>
      </c>
      <c r="V130" s="346">
        <v>44864</v>
      </c>
      <c r="W130">
        <v>90.98</v>
      </c>
      <c r="X130" s="102">
        <f t="shared" si="12"/>
        <v>-0.12020114108886948</v>
      </c>
      <c r="Z130" s="346">
        <v>44864</v>
      </c>
      <c r="AA130" s="348">
        <v>4051</v>
      </c>
      <c r="AB130" s="102">
        <f t="shared" si="13"/>
        <v>-2.9932950191570828E-2</v>
      </c>
    </row>
    <row r="131" spans="2:28" x14ac:dyDescent="0.25">
      <c r="B131" s="346">
        <v>44857</v>
      </c>
      <c r="C131">
        <v>96.58</v>
      </c>
      <c r="D131" s="102">
        <f t="shared" si="7"/>
        <v>-4.8285376428853E-2</v>
      </c>
      <c r="F131" s="346">
        <v>44857</v>
      </c>
      <c r="G131">
        <v>99.2</v>
      </c>
      <c r="H131" s="102">
        <f t="shared" si="8"/>
        <v>-0.23698177063302817</v>
      </c>
      <c r="J131" s="346">
        <v>44857</v>
      </c>
      <c r="K131">
        <v>235.87</v>
      </c>
      <c r="L131" s="102">
        <f t="shared" si="9"/>
        <v>-2.581364612588799E-2</v>
      </c>
      <c r="N131" s="346">
        <v>44857</v>
      </c>
      <c r="O131">
        <v>155.74</v>
      </c>
      <c r="P131" s="102">
        <f t="shared" si="10"/>
        <v>5.7513410742174198E-2</v>
      </c>
      <c r="R131" s="346">
        <v>44857</v>
      </c>
      <c r="S131">
        <v>138.51</v>
      </c>
      <c r="T131" s="102">
        <f t="shared" si="11"/>
        <v>6.6281755196304637E-2</v>
      </c>
      <c r="V131" s="346">
        <v>44857</v>
      </c>
      <c r="W131">
        <v>103.41</v>
      </c>
      <c r="X131" s="102">
        <f t="shared" si="12"/>
        <v>-0.13333892054978203</v>
      </c>
      <c r="Z131" s="346">
        <v>44857</v>
      </c>
      <c r="AA131" s="348">
        <v>4176</v>
      </c>
      <c r="AB131" s="102">
        <f t="shared" si="13"/>
        <v>3.8289408254599699E-2</v>
      </c>
    </row>
    <row r="132" spans="2:28" x14ac:dyDescent="0.25">
      <c r="B132" s="346">
        <v>44850</v>
      </c>
      <c r="C132">
        <v>101.48</v>
      </c>
      <c r="D132" s="102">
        <f t="shared" si="7"/>
        <v>4.4247787610619538E-2</v>
      </c>
      <c r="F132" s="346">
        <v>44850</v>
      </c>
      <c r="G132">
        <v>130.01</v>
      </c>
      <c r="H132" s="102">
        <f t="shared" si="8"/>
        <v>2.5639002840012415E-2</v>
      </c>
      <c r="J132" s="346">
        <v>44850</v>
      </c>
      <c r="K132">
        <v>242.12</v>
      </c>
      <c r="L132" s="102">
        <f t="shared" si="9"/>
        <v>5.9327966398319942E-2</v>
      </c>
      <c r="N132" s="346">
        <v>44850</v>
      </c>
      <c r="O132">
        <v>147.27000000000001</v>
      </c>
      <c r="P132" s="102">
        <f t="shared" si="10"/>
        <v>6.4243387772799698E-2</v>
      </c>
      <c r="R132" s="346">
        <v>44850</v>
      </c>
      <c r="S132">
        <v>129.9</v>
      </c>
      <c r="T132" s="102">
        <f t="shared" si="11"/>
        <v>8.2139286904365116E-2</v>
      </c>
      <c r="V132" s="346">
        <v>44850</v>
      </c>
      <c r="W132">
        <v>119.32</v>
      </c>
      <c r="X132" s="102">
        <f t="shared" si="12"/>
        <v>0.1161833489242281</v>
      </c>
      <c r="Z132" s="346">
        <v>44850</v>
      </c>
      <c r="AA132" s="348">
        <v>4022</v>
      </c>
      <c r="AB132" s="102">
        <f t="shared" si="13"/>
        <v>4.3861925772125554E-2</v>
      </c>
    </row>
    <row r="133" spans="2:28" x14ac:dyDescent="0.25">
      <c r="B133" s="346">
        <v>44843</v>
      </c>
      <c r="C133">
        <v>97.18</v>
      </c>
      <c r="D133" s="102">
        <f t="shared" si="7"/>
        <v>-2.4003213819423386E-2</v>
      </c>
      <c r="F133" s="346">
        <v>44843</v>
      </c>
      <c r="G133">
        <v>126.76</v>
      </c>
      <c r="H133" s="102">
        <f t="shared" si="8"/>
        <v>-5.0131135256650361E-2</v>
      </c>
      <c r="J133" s="346">
        <v>44843</v>
      </c>
      <c r="K133">
        <v>228.56</v>
      </c>
      <c r="L133" s="102">
        <f t="shared" si="9"/>
        <v>-2.4248633879781489E-2</v>
      </c>
      <c r="N133" s="346">
        <v>44843</v>
      </c>
      <c r="O133">
        <v>138.38</v>
      </c>
      <c r="P133" s="102">
        <f t="shared" si="10"/>
        <v>-1.2206438717967116E-2</v>
      </c>
      <c r="R133" s="346">
        <v>44843</v>
      </c>
      <c r="S133">
        <v>120.04</v>
      </c>
      <c r="T133" s="102">
        <f t="shared" si="11"/>
        <v>1.0267631711833092E-2</v>
      </c>
      <c r="V133" s="346">
        <v>44843</v>
      </c>
      <c r="W133">
        <v>106.9</v>
      </c>
      <c r="X133" s="102">
        <f t="shared" si="12"/>
        <v>-6.6864525139664788E-2</v>
      </c>
      <c r="Z133" s="346">
        <v>44843</v>
      </c>
      <c r="AA133" s="348">
        <v>3853</v>
      </c>
      <c r="AB133" s="102">
        <f t="shared" si="13"/>
        <v>-1.2051282051282031E-2</v>
      </c>
    </row>
    <row r="134" spans="2:28" x14ac:dyDescent="0.25">
      <c r="B134" s="346">
        <v>44836</v>
      </c>
      <c r="C134">
        <v>99.57</v>
      </c>
      <c r="D134" s="102">
        <f t="shared" si="7"/>
        <v>3.5569422776910997E-2</v>
      </c>
      <c r="F134" s="346">
        <v>44836</v>
      </c>
      <c r="G134">
        <v>133.44999999999999</v>
      </c>
      <c r="H134" s="102">
        <f t="shared" si="8"/>
        <v>-1.6435731132075637E-2</v>
      </c>
      <c r="J134" s="346">
        <v>44836</v>
      </c>
      <c r="K134">
        <v>234.24</v>
      </c>
      <c r="L134" s="102">
        <f t="shared" si="9"/>
        <v>5.7535422928296498E-3</v>
      </c>
      <c r="N134" s="346">
        <v>44836</v>
      </c>
      <c r="O134">
        <v>140.09</v>
      </c>
      <c r="P134" s="102">
        <f t="shared" si="10"/>
        <v>1.3675832127351795E-2</v>
      </c>
      <c r="R134" s="346">
        <v>44836</v>
      </c>
      <c r="S134">
        <v>118.82</v>
      </c>
      <c r="T134" s="102">
        <f t="shared" si="11"/>
        <v>8.4167999326645315E-5</v>
      </c>
      <c r="V134" s="346">
        <v>44836</v>
      </c>
      <c r="W134">
        <v>114.56</v>
      </c>
      <c r="X134" s="102">
        <f t="shared" si="12"/>
        <v>1.3805309734513216E-2</v>
      </c>
      <c r="Z134" s="346">
        <v>44836</v>
      </c>
      <c r="AA134" s="348">
        <v>3900</v>
      </c>
      <c r="AB134" s="102">
        <f t="shared" si="13"/>
        <v>1.9874476987447709E-2</v>
      </c>
    </row>
    <row r="135" spans="2:28" x14ac:dyDescent="0.25">
      <c r="B135" s="346">
        <v>44829</v>
      </c>
      <c r="C135">
        <v>96.15</v>
      </c>
      <c r="D135" s="102">
        <f t="shared" si="7"/>
        <v>-3.0452757890491067E-2</v>
      </c>
      <c r="F135" s="346">
        <v>44829</v>
      </c>
      <c r="G135">
        <v>135.68</v>
      </c>
      <c r="H135" s="102">
        <f t="shared" si="8"/>
        <v>-3.3687059326258706E-2</v>
      </c>
      <c r="J135" s="346">
        <v>44829</v>
      </c>
      <c r="K135">
        <v>232.9</v>
      </c>
      <c r="L135" s="102">
        <f t="shared" si="9"/>
        <v>-2.1099529253530536E-2</v>
      </c>
      <c r="N135" s="346">
        <v>44829</v>
      </c>
      <c r="O135">
        <v>138.19999999999999</v>
      </c>
      <c r="P135" s="102">
        <f t="shared" si="10"/>
        <v>-8.1300272552017661E-2</v>
      </c>
      <c r="R135" s="346">
        <v>44829</v>
      </c>
      <c r="S135">
        <v>118.81</v>
      </c>
      <c r="T135" s="102">
        <f t="shared" si="11"/>
        <v>-3.1782250835302728E-2</v>
      </c>
      <c r="V135" s="346">
        <v>44829</v>
      </c>
      <c r="W135">
        <v>113</v>
      </c>
      <c r="X135" s="102">
        <f t="shared" si="12"/>
        <v>-6.8553348567410577E-3</v>
      </c>
      <c r="Z135" s="346">
        <v>44829</v>
      </c>
      <c r="AA135" s="348">
        <v>3824</v>
      </c>
      <c r="AB135" s="102">
        <f t="shared" si="13"/>
        <v>-3.0917384693360361E-2</v>
      </c>
    </row>
    <row r="136" spans="2:28" x14ac:dyDescent="0.25">
      <c r="B136" s="346">
        <v>44822</v>
      </c>
      <c r="C136">
        <v>99.17</v>
      </c>
      <c r="D136" s="102">
        <f t="shared" si="7"/>
        <v>-4.3037730386953577E-2</v>
      </c>
      <c r="F136" s="346">
        <v>44822</v>
      </c>
      <c r="G136">
        <v>140.41</v>
      </c>
      <c r="H136" s="102">
        <f t="shared" si="8"/>
        <v>-4.0194134937452941E-2</v>
      </c>
      <c r="J136" s="346">
        <v>44822</v>
      </c>
      <c r="K136">
        <v>237.92</v>
      </c>
      <c r="L136" s="102">
        <f t="shared" si="9"/>
        <v>-2.7866307101413801E-2</v>
      </c>
      <c r="N136" s="346">
        <v>44822</v>
      </c>
      <c r="O136">
        <v>150.43</v>
      </c>
      <c r="P136" s="102">
        <f t="shared" si="10"/>
        <v>-1.7916390179162356E-3</v>
      </c>
      <c r="R136" s="346">
        <v>44822</v>
      </c>
      <c r="S136">
        <v>122.71</v>
      </c>
      <c r="T136" s="102">
        <f t="shared" si="11"/>
        <v>-3.5829339200125765E-2</v>
      </c>
      <c r="V136" s="346">
        <v>44822</v>
      </c>
      <c r="W136">
        <v>113.78</v>
      </c>
      <c r="X136" s="102">
        <f t="shared" si="12"/>
        <v>-7.8928195580021066E-2</v>
      </c>
      <c r="Z136" s="346">
        <v>44822</v>
      </c>
      <c r="AA136" s="348">
        <v>3946</v>
      </c>
      <c r="AB136" s="102">
        <f t="shared" si="13"/>
        <v>-4.3625787687833206E-2</v>
      </c>
    </row>
    <row r="137" spans="2:28" x14ac:dyDescent="0.25">
      <c r="B137" s="346">
        <v>44815</v>
      </c>
      <c r="C137">
        <v>103.63</v>
      </c>
      <c r="D137" s="102">
        <f t="shared" si="7"/>
        <v>-7.2911075326534291E-2</v>
      </c>
      <c r="F137" s="346">
        <v>44815</v>
      </c>
      <c r="G137">
        <v>146.29</v>
      </c>
      <c r="H137" s="102">
        <f t="shared" si="8"/>
        <v>-0.13514631983446657</v>
      </c>
      <c r="J137" s="346">
        <v>44815</v>
      </c>
      <c r="K137">
        <v>244.74</v>
      </c>
      <c r="L137" s="102">
        <f t="shared" si="9"/>
        <v>-7.4567042274824025E-2</v>
      </c>
      <c r="N137" s="346">
        <v>44815</v>
      </c>
      <c r="O137">
        <v>150.69999999999999</v>
      </c>
      <c r="P137" s="102">
        <f t="shared" si="10"/>
        <v>-4.2384190125182797E-2</v>
      </c>
      <c r="R137" s="346">
        <v>44815</v>
      </c>
      <c r="S137">
        <v>127.27</v>
      </c>
      <c r="T137" s="102">
        <f t="shared" si="11"/>
        <v>-1.4861831411099979E-2</v>
      </c>
      <c r="V137" s="346">
        <v>44815</v>
      </c>
      <c r="W137">
        <v>123.53</v>
      </c>
      <c r="X137" s="102">
        <f t="shared" si="12"/>
        <v>-7.3084715239738918E-2</v>
      </c>
      <c r="Z137" s="346">
        <v>44815</v>
      </c>
      <c r="AA137" s="348">
        <v>4126</v>
      </c>
      <c r="AB137" s="102">
        <f t="shared" si="13"/>
        <v>-4.0911204091120368E-2</v>
      </c>
    </row>
    <row r="138" spans="2:28" x14ac:dyDescent="0.25">
      <c r="B138" s="346">
        <v>44808</v>
      </c>
      <c r="C138">
        <v>111.78</v>
      </c>
      <c r="D138" s="102">
        <f t="shared" si="7"/>
        <v>2.8524107471475935E-2</v>
      </c>
      <c r="F138" s="346">
        <v>44808</v>
      </c>
      <c r="G138">
        <v>169.15</v>
      </c>
      <c r="H138" s="102">
        <f t="shared" si="8"/>
        <v>5.5077345309381354E-2</v>
      </c>
      <c r="J138" s="346">
        <v>44808</v>
      </c>
      <c r="K138">
        <v>264.45999999999998</v>
      </c>
      <c r="L138" s="102">
        <f t="shared" si="9"/>
        <v>3.2804811372334486E-2</v>
      </c>
      <c r="N138" s="346">
        <v>44808</v>
      </c>
      <c r="O138">
        <v>157.37</v>
      </c>
      <c r="P138" s="102">
        <f t="shared" si="10"/>
        <v>1.0012194339259262E-2</v>
      </c>
      <c r="R138" s="346">
        <v>44808</v>
      </c>
      <c r="S138">
        <v>129.19</v>
      </c>
      <c r="T138" s="102">
        <f t="shared" si="11"/>
        <v>1.0955473824242778E-2</v>
      </c>
      <c r="V138" s="346">
        <v>44808</v>
      </c>
      <c r="W138">
        <v>133.27000000000001</v>
      </c>
      <c r="X138" s="102">
        <f t="shared" si="12"/>
        <v>4.5172927613520653E-2</v>
      </c>
      <c r="Z138" s="346">
        <v>44808</v>
      </c>
      <c r="AA138" s="348">
        <v>4302</v>
      </c>
      <c r="AB138" s="102">
        <f t="shared" si="13"/>
        <v>3.6876355748373113E-2</v>
      </c>
    </row>
    <row r="139" spans="2:28" x14ac:dyDescent="0.25">
      <c r="B139" s="346">
        <v>44801</v>
      </c>
      <c r="C139">
        <v>108.68</v>
      </c>
      <c r="D139" s="102">
        <f t="shared" si="7"/>
        <v>-2.3539982030547968E-2</v>
      </c>
      <c r="F139" s="346">
        <v>44801</v>
      </c>
      <c r="G139">
        <v>160.32</v>
      </c>
      <c r="H139" s="102">
        <f t="shared" si="8"/>
        <v>-9.0246013104215983E-3</v>
      </c>
      <c r="J139" s="346">
        <v>44801</v>
      </c>
      <c r="K139">
        <v>256.06</v>
      </c>
      <c r="L139" s="102">
        <f t="shared" si="9"/>
        <v>-4.4872990413666991E-2</v>
      </c>
      <c r="N139" s="346">
        <v>44801</v>
      </c>
      <c r="O139">
        <v>155.81</v>
      </c>
      <c r="P139" s="102">
        <f t="shared" si="10"/>
        <v>-4.7732551032881099E-2</v>
      </c>
      <c r="R139" s="346">
        <v>44801</v>
      </c>
      <c r="S139">
        <v>127.79</v>
      </c>
      <c r="T139" s="102">
        <f t="shared" si="11"/>
        <v>-1.9865009970854386E-2</v>
      </c>
      <c r="V139" s="346">
        <v>44801</v>
      </c>
      <c r="W139">
        <v>127.51</v>
      </c>
      <c r="X139" s="102">
        <f t="shared" si="12"/>
        <v>-2.4780114722753321E-2</v>
      </c>
      <c r="Z139" s="346">
        <v>44801</v>
      </c>
      <c r="AA139" s="348">
        <v>4149</v>
      </c>
      <c r="AB139" s="102">
        <f t="shared" si="13"/>
        <v>-3.2867132867132831E-2</v>
      </c>
    </row>
    <row r="140" spans="2:28" x14ac:dyDescent="0.25">
      <c r="B140" s="346">
        <v>44794</v>
      </c>
      <c r="C140">
        <v>111.3</v>
      </c>
      <c r="D140" s="102">
        <f t="shared" si="7"/>
        <v>-5.7737893667456852E-2</v>
      </c>
      <c r="F140" s="346">
        <v>44794</v>
      </c>
      <c r="G140">
        <v>161.78</v>
      </c>
      <c r="H140" s="102">
        <f t="shared" si="8"/>
        <v>-3.6794474874970229E-2</v>
      </c>
      <c r="J140" s="346">
        <v>44794</v>
      </c>
      <c r="K140">
        <v>268.08999999999997</v>
      </c>
      <c r="L140" s="102">
        <f t="shared" si="9"/>
        <v>-6.3113751528918405E-2</v>
      </c>
      <c r="N140" s="346">
        <v>44794</v>
      </c>
      <c r="O140">
        <v>163.62</v>
      </c>
      <c r="P140" s="102">
        <f t="shared" si="10"/>
        <v>-4.6058768656716431E-2</v>
      </c>
      <c r="R140" s="346">
        <v>44794</v>
      </c>
      <c r="S140">
        <v>130.38</v>
      </c>
      <c r="T140" s="102">
        <f t="shared" si="11"/>
        <v>-5.7743730577437424E-2</v>
      </c>
      <c r="V140" s="346">
        <v>44794</v>
      </c>
      <c r="W140">
        <v>130.75</v>
      </c>
      <c r="X140" s="102">
        <f t="shared" si="12"/>
        <v>-5.4112710699558586E-2</v>
      </c>
      <c r="Z140" s="346">
        <v>44794</v>
      </c>
      <c r="AA140" s="348">
        <v>4290</v>
      </c>
      <c r="AB140" s="102">
        <f t="shared" si="13"/>
        <v>-3.876316379117184E-2</v>
      </c>
    </row>
    <row r="141" spans="2:28" x14ac:dyDescent="0.25">
      <c r="B141" s="346">
        <v>44787</v>
      </c>
      <c r="C141">
        <v>118.12</v>
      </c>
      <c r="D141" s="102">
        <f t="shared" si="7"/>
        <v>-3.6934366082348125E-2</v>
      </c>
      <c r="F141" s="346">
        <v>44787</v>
      </c>
      <c r="G141">
        <v>167.96</v>
      </c>
      <c r="H141" s="102">
        <f t="shared" si="8"/>
        <v>-6.9473684210526243E-2</v>
      </c>
      <c r="J141" s="346">
        <v>44787</v>
      </c>
      <c r="K141">
        <v>286.14999999999998</v>
      </c>
      <c r="L141" s="102">
        <f t="shared" si="9"/>
        <v>-1.9732109211743509E-2</v>
      </c>
      <c r="N141" s="346">
        <v>44787</v>
      </c>
      <c r="O141">
        <v>171.52</v>
      </c>
      <c r="P141" s="102">
        <f t="shared" si="10"/>
        <v>-3.3701336432305773E-3</v>
      </c>
      <c r="R141" s="346">
        <v>44787</v>
      </c>
      <c r="S141">
        <v>138.37</v>
      </c>
      <c r="T141" s="102">
        <f t="shared" si="11"/>
        <v>3.2534885456309226E-2</v>
      </c>
      <c r="V141" s="346">
        <v>44787</v>
      </c>
      <c r="W141">
        <v>138.22999999999999</v>
      </c>
      <c r="X141" s="102">
        <f t="shared" si="12"/>
        <v>-3.7060257749913061E-2</v>
      </c>
      <c r="Z141" s="346">
        <v>44787</v>
      </c>
      <c r="AA141" s="348">
        <v>4463</v>
      </c>
      <c r="AB141" s="102">
        <f t="shared" si="13"/>
        <v>-8.8829669109482534E-3</v>
      </c>
    </row>
    <row r="142" spans="2:28" x14ac:dyDescent="0.25">
      <c r="B142" s="346">
        <v>44780</v>
      </c>
      <c r="C142">
        <v>122.65</v>
      </c>
      <c r="D142" s="102">
        <f t="shared" si="7"/>
        <v>3.7472508881746025E-2</v>
      </c>
      <c r="F142" s="346">
        <v>44780</v>
      </c>
      <c r="G142">
        <v>180.5</v>
      </c>
      <c r="H142" s="102">
        <f t="shared" si="8"/>
        <v>8.0126862545628619E-2</v>
      </c>
      <c r="J142" s="346">
        <v>44780</v>
      </c>
      <c r="K142">
        <v>291.91000000000003</v>
      </c>
      <c r="L142" s="102">
        <f t="shared" si="9"/>
        <v>3.1812237107207153E-2</v>
      </c>
      <c r="N142" s="346">
        <v>44780</v>
      </c>
      <c r="O142">
        <v>172.1</v>
      </c>
      <c r="P142" s="102">
        <f t="shared" si="10"/>
        <v>4.0822497732083463E-2</v>
      </c>
      <c r="R142" s="346">
        <v>44780</v>
      </c>
      <c r="S142">
        <v>134.01</v>
      </c>
      <c r="T142" s="102">
        <f t="shared" si="11"/>
        <v>1.1548913043478271E-2</v>
      </c>
      <c r="V142" s="346">
        <v>44780</v>
      </c>
      <c r="W142">
        <v>143.55000000000001</v>
      </c>
      <c r="X142" s="102">
        <f t="shared" si="12"/>
        <v>1.953125E-2</v>
      </c>
      <c r="Z142" s="346">
        <v>44780</v>
      </c>
      <c r="AA142" s="348">
        <v>4503</v>
      </c>
      <c r="AB142" s="102">
        <f t="shared" si="13"/>
        <v>3.3983926521240049E-2</v>
      </c>
    </row>
    <row r="143" spans="2:28" x14ac:dyDescent="0.25">
      <c r="B143" s="346">
        <v>44773</v>
      </c>
      <c r="C143">
        <v>118.22</v>
      </c>
      <c r="D143" s="102">
        <f t="shared" si="7"/>
        <v>1.3545953360768248E-2</v>
      </c>
      <c r="F143" s="346">
        <v>44773</v>
      </c>
      <c r="G143">
        <v>167.11</v>
      </c>
      <c r="H143" s="102">
        <f t="shared" si="8"/>
        <v>5.0345694531741092E-2</v>
      </c>
      <c r="J143" s="346">
        <v>44773</v>
      </c>
      <c r="K143">
        <v>282.91000000000003</v>
      </c>
      <c r="L143" s="102">
        <f t="shared" si="9"/>
        <v>7.729571845836114E-3</v>
      </c>
      <c r="N143" s="346">
        <v>44773</v>
      </c>
      <c r="O143">
        <v>165.35</v>
      </c>
      <c r="P143" s="102">
        <f t="shared" si="10"/>
        <v>1.7475847640145314E-2</v>
      </c>
      <c r="R143" s="346">
        <v>44773</v>
      </c>
      <c r="S143">
        <v>132.47999999999999</v>
      </c>
      <c r="T143" s="102">
        <f t="shared" si="11"/>
        <v>1.2921477177154195E-2</v>
      </c>
      <c r="V143" s="346">
        <v>44773</v>
      </c>
      <c r="W143">
        <v>140.80000000000001</v>
      </c>
      <c r="X143" s="102">
        <f t="shared" si="12"/>
        <v>4.3349388662467847E-2</v>
      </c>
      <c r="Z143" s="346">
        <v>44773</v>
      </c>
      <c r="AA143" s="348">
        <v>4355</v>
      </c>
      <c r="AB143" s="102">
        <f t="shared" si="13"/>
        <v>1.1849442379182173E-2</v>
      </c>
    </row>
    <row r="144" spans="2:28" x14ac:dyDescent="0.25">
      <c r="B144" s="346">
        <v>44766</v>
      </c>
      <c r="C144">
        <v>116.64</v>
      </c>
      <c r="D144" s="102">
        <f t="shared" ref="D144:D207" si="14">C144/C145-1</f>
        <v>7.6411960132890311E-2</v>
      </c>
      <c r="F144" s="346">
        <v>44766</v>
      </c>
      <c r="G144">
        <v>159.1</v>
      </c>
      <c r="H144" s="102">
        <f t="shared" ref="H144:H207" si="15">G144/G145-1</f>
        <v>-6.0081526555207709E-2</v>
      </c>
      <c r="J144" s="346">
        <v>44766</v>
      </c>
      <c r="K144">
        <v>280.74</v>
      </c>
      <c r="L144" s="102">
        <f t="shared" ref="L144:L207" si="16">K144/K145-1</f>
        <v>7.8276232908280896E-2</v>
      </c>
      <c r="N144" s="346">
        <v>44766</v>
      </c>
      <c r="O144">
        <v>162.51</v>
      </c>
      <c r="P144" s="102">
        <f t="shared" ref="P144:P207" si="17">O144/O145-1</f>
        <v>5.4643390226490896E-2</v>
      </c>
      <c r="R144" s="346">
        <v>44766</v>
      </c>
      <c r="S144">
        <v>130.79</v>
      </c>
      <c r="T144" s="102">
        <f t="shared" ref="T144:T207" si="18">S144/S145-1</f>
        <v>1.9805068226120826E-2</v>
      </c>
      <c r="V144" s="346">
        <v>44766</v>
      </c>
      <c r="W144">
        <v>134.94999999999999</v>
      </c>
      <c r="X144" s="102">
        <f t="shared" ref="X144:X207" si="19">W144/W145-1</f>
        <v>0.10235255677176913</v>
      </c>
      <c r="Z144" s="346">
        <v>44766</v>
      </c>
      <c r="AA144" s="348">
        <v>4304</v>
      </c>
      <c r="AB144" s="102">
        <f t="shared" ref="AB144:AB207" si="20">AA144/AA145-1</f>
        <v>4.0618955512572441E-2</v>
      </c>
    </row>
    <row r="145" spans="2:28" x14ac:dyDescent="0.25">
      <c r="B145" s="346">
        <v>44759</v>
      </c>
      <c r="C145">
        <v>108.36</v>
      </c>
      <c r="D145" s="102">
        <f t="shared" si="14"/>
        <v>-3.9106145251396662E-2</v>
      </c>
      <c r="F145" s="346">
        <v>44759</v>
      </c>
      <c r="G145">
        <v>169.27</v>
      </c>
      <c r="H145" s="102">
        <f t="shared" si="15"/>
        <v>2.7747419550698371E-2</v>
      </c>
      <c r="J145" s="346">
        <v>44759</v>
      </c>
      <c r="K145">
        <v>260.36</v>
      </c>
      <c r="L145" s="102">
        <f t="shared" si="16"/>
        <v>1.4178871922717384E-2</v>
      </c>
      <c r="N145" s="346">
        <v>44759</v>
      </c>
      <c r="O145">
        <v>154.09</v>
      </c>
      <c r="P145" s="102">
        <f t="shared" si="17"/>
        <v>2.6103749084371186E-2</v>
      </c>
      <c r="R145" s="346">
        <v>44759</v>
      </c>
      <c r="S145">
        <v>128.25</v>
      </c>
      <c r="T145" s="102">
        <f t="shared" si="18"/>
        <v>-8.3404802744425299E-2</v>
      </c>
      <c r="V145" s="346">
        <v>44759</v>
      </c>
      <c r="W145">
        <v>122.42</v>
      </c>
      <c r="X145" s="102">
        <f t="shared" si="19"/>
        <v>7.8115367679436387E-2</v>
      </c>
      <c r="Z145" s="346">
        <v>44759</v>
      </c>
      <c r="AA145" s="348">
        <v>4136</v>
      </c>
      <c r="AB145" s="102">
        <f t="shared" si="20"/>
        <v>2.350903241771829E-2</v>
      </c>
    </row>
    <row r="146" spans="2:28" x14ac:dyDescent="0.25">
      <c r="B146" s="346">
        <v>44752</v>
      </c>
      <c r="C146">
        <v>112.77</v>
      </c>
      <c r="D146" s="102">
        <f t="shared" si="14"/>
        <v>-6.1579429142048836E-2</v>
      </c>
      <c r="F146" s="346">
        <v>44752</v>
      </c>
      <c r="G146">
        <v>164.7</v>
      </c>
      <c r="H146" s="102">
        <f t="shared" si="15"/>
        <v>-3.6165730337078705E-2</v>
      </c>
      <c r="J146" s="346">
        <v>44752</v>
      </c>
      <c r="K146">
        <v>256.72000000000003</v>
      </c>
      <c r="L146" s="102">
        <f t="shared" si="16"/>
        <v>-4.0872749009937981E-2</v>
      </c>
      <c r="N146" s="346">
        <v>44752</v>
      </c>
      <c r="O146">
        <v>150.16999999999999</v>
      </c>
      <c r="P146" s="102">
        <f t="shared" si="17"/>
        <v>2.1286724700761761E-2</v>
      </c>
      <c r="R146" s="346">
        <v>44752</v>
      </c>
      <c r="S146">
        <v>139.91999999999999</v>
      </c>
      <c r="T146" s="102">
        <f t="shared" si="18"/>
        <v>-3.9154267815192378E-3</v>
      </c>
      <c r="V146" s="346">
        <v>44752</v>
      </c>
      <c r="W146">
        <v>113.55</v>
      </c>
      <c r="X146" s="102">
        <f t="shared" si="19"/>
        <v>-1.7223472390514138E-2</v>
      </c>
      <c r="Z146" s="346">
        <v>44752</v>
      </c>
      <c r="AA146" s="348">
        <v>4041</v>
      </c>
      <c r="AB146" s="102">
        <f t="shared" si="20"/>
        <v>-1.1134222439740604E-2</v>
      </c>
    </row>
    <row r="147" spans="2:28" x14ac:dyDescent="0.25">
      <c r="B147" s="346">
        <v>44745</v>
      </c>
      <c r="C147">
        <v>120.17</v>
      </c>
      <c r="D147" s="102">
        <f t="shared" si="14"/>
        <v>0.10166850018335172</v>
      </c>
      <c r="F147" s="346">
        <v>44745</v>
      </c>
      <c r="G147">
        <v>170.88</v>
      </c>
      <c r="H147" s="102">
        <f t="shared" si="15"/>
        <v>6.7799787539836176E-2</v>
      </c>
      <c r="J147" s="346">
        <v>44745</v>
      </c>
      <c r="K147">
        <v>267.66000000000003</v>
      </c>
      <c r="L147" s="102">
        <f t="shared" si="16"/>
        <v>3.1127205485784959E-2</v>
      </c>
      <c r="N147" s="346">
        <v>44745</v>
      </c>
      <c r="O147">
        <v>147.04</v>
      </c>
      <c r="P147" s="102">
        <f t="shared" si="17"/>
        <v>5.8374721082559367E-2</v>
      </c>
      <c r="R147" s="346">
        <v>44745</v>
      </c>
      <c r="S147">
        <v>140.47</v>
      </c>
      <c r="T147" s="102">
        <f t="shared" si="18"/>
        <v>-4.6060090702948475E-3</v>
      </c>
      <c r="V147" s="346">
        <v>44745</v>
      </c>
      <c r="W147">
        <v>115.54</v>
      </c>
      <c r="X147" s="102">
        <f t="shared" si="19"/>
        <v>5.4581964220518531E-2</v>
      </c>
      <c r="Z147" s="346">
        <v>44745</v>
      </c>
      <c r="AA147" s="348">
        <v>4086.5</v>
      </c>
      <c r="AB147" s="102">
        <f t="shared" si="20"/>
        <v>2.5470514429109192E-2</v>
      </c>
    </row>
    <row r="148" spans="2:28" x14ac:dyDescent="0.25">
      <c r="B148" s="346">
        <v>44738</v>
      </c>
      <c r="C148">
        <v>109.08</v>
      </c>
      <c r="D148" s="102">
        <f t="shared" si="14"/>
        <v>-7.9804285473258019E-2</v>
      </c>
      <c r="F148" s="346">
        <v>44738</v>
      </c>
      <c r="G148">
        <v>160.03</v>
      </c>
      <c r="H148" s="102">
        <f t="shared" si="15"/>
        <v>-5.9532204983544834E-2</v>
      </c>
      <c r="J148" s="346">
        <v>44738</v>
      </c>
      <c r="K148">
        <v>259.58</v>
      </c>
      <c r="L148" s="102">
        <f t="shared" si="16"/>
        <v>-3.0332461710870451E-2</v>
      </c>
      <c r="N148" s="346">
        <v>44738</v>
      </c>
      <c r="O148">
        <v>138.93</v>
      </c>
      <c r="P148" s="102">
        <f t="shared" si="17"/>
        <v>-1.927149512918247E-2</v>
      </c>
      <c r="R148" s="346">
        <v>44738</v>
      </c>
      <c r="S148">
        <v>141.12</v>
      </c>
      <c r="T148" s="102">
        <f t="shared" si="18"/>
        <v>-6.6169224271434013E-3</v>
      </c>
      <c r="V148" s="346">
        <v>44738</v>
      </c>
      <c r="W148">
        <v>109.56</v>
      </c>
      <c r="X148" s="102">
        <f t="shared" si="19"/>
        <v>-5.9247810407006662E-2</v>
      </c>
      <c r="Z148" s="346">
        <v>44738</v>
      </c>
      <c r="AA148" s="348">
        <v>3985</v>
      </c>
      <c r="AB148" s="102">
        <f t="shared" si="20"/>
        <v>-2.7574426549536346E-2</v>
      </c>
    </row>
    <row r="149" spans="2:28" x14ac:dyDescent="0.25">
      <c r="B149" s="346">
        <v>44731</v>
      </c>
      <c r="C149">
        <v>118.54</v>
      </c>
      <c r="D149" s="102">
        <f t="shared" si="14"/>
        <v>9.8915361082784869E-2</v>
      </c>
      <c r="F149" s="346">
        <v>44731</v>
      </c>
      <c r="G149">
        <v>170.16</v>
      </c>
      <c r="H149" s="102">
        <f t="shared" si="15"/>
        <v>3.9208501282520958E-2</v>
      </c>
      <c r="J149" s="346">
        <v>44731</v>
      </c>
      <c r="K149">
        <v>267.7</v>
      </c>
      <c r="L149" s="102">
        <f t="shared" si="16"/>
        <v>8.0961033716939079E-2</v>
      </c>
      <c r="N149" s="346">
        <v>44731</v>
      </c>
      <c r="O149">
        <v>141.66</v>
      </c>
      <c r="P149" s="102">
        <f t="shared" si="17"/>
        <v>7.6771055031924496E-2</v>
      </c>
      <c r="R149" s="346">
        <v>44731</v>
      </c>
      <c r="S149">
        <v>142.06</v>
      </c>
      <c r="T149" s="102">
        <f t="shared" si="18"/>
        <v>5.2140423640941957E-2</v>
      </c>
      <c r="V149" s="346">
        <v>44731</v>
      </c>
      <c r="W149">
        <v>116.46</v>
      </c>
      <c r="X149" s="102">
        <f t="shared" si="19"/>
        <v>9.6403690453775059E-2</v>
      </c>
      <c r="Z149" s="346">
        <v>44731</v>
      </c>
      <c r="AA149" s="348">
        <v>4098</v>
      </c>
      <c r="AB149" s="102">
        <f t="shared" si="20"/>
        <v>5.727554179566563E-2</v>
      </c>
    </row>
    <row r="150" spans="2:28" x14ac:dyDescent="0.25">
      <c r="B150" s="346">
        <v>44724</v>
      </c>
      <c r="C150">
        <v>107.87</v>
      </c>
      <c r="D150" s="102">
        <f t="shared" si="14"/>
        <v>-3.194830835502116E-2</v>
      </c>
      <c r="F150" s="346">
        <v>44724</v>
      </c>
      <c r="G150">
        <v>163.74</v>
      </c>
      <c r="H150" s="102">
        <f t="shared" si="15"/>
        <v>-6.7380531981545699E-2</v>
      </c>
      <c r="J150" s="346">
        <v>44724</v>
      </c>
      <c r="K150">
        <v>247.65</v>
      </c>
      <c r="L150" s="102">
        <f t="shared" si="16"/>
        <v>-2.1107553658247347E-2</v>
      </c>
      <c r="N150" s="346">
        <v>44724</v>
      </c>
      <c r="O150">
        <v>131.56</v>
      </c>
      <c r="P150" s="102">
        <f t="shared" si="17"/>
        <v>-4.061839130751832E-2</v>
      </c>
      <c r="R150" s="346">
        <v>44724</v>
      </c>
      <c r="S150">
        <v>135.02000000000001</v>
      </c>
      <c r="T150" s="102">
        <f t="shared" si="18"/>
        <v>-8.5909391291576487E-3</v>
      </c>
      <c r="V150" s="346">
        <v>44724</v>
      </c>
      <c r="W150">
        <v>106.22</v>
      </c>
      <c r="X150" s="102">
        <f t="shared" si="19"/>
        <v>-3.1281349749202048E-2</v>
      </c>
      <c r="Z150" s="346">
        <v>44724</v>
      </c>
      <c r="AA150" s="348">
        <v>3876</v>
      </c>
      <c r="AB150" s="102">
        <f t="shared" si="20"/>
        <v>-5.9907834101382451E-2</v>
      </c>
    </row>
    <row r="151" spans="2:28" x14ac:dyDescent="0.25">
      <c r="B151" s="346">
        <v>44717</v>
      </c>
      <c r="C151">
        <v>111.43</v>
      </c>
      <c r="D151" s="102">
        <f t="shared" si="14"/>
        <v>-2.7321927374301613E-2</v>
      </c>
      <c r="F151" s="346">
        <v>44717</v>
      </c>
      <c r="G151">
        <v>175.57</v>
      </c>
      <c r="H151" s="102">
        <f t="shared" si="15"/>
        <v>-7.9725338085753217E-2</v>
      </c>
      <c r="J151" s="346">
        <v>44717</v>
      </c>
      <c r="K151">
        <v>252.99</v>
      </c>
      <c r="L151" s="102">
        <f t="shared" si="16"/>
        <v>-6.3069402266498709E-2</v>
      </c>
      <c r="N151" s="346">
        <v>44717</v>
      </c>
      <c r="O151">
        <v>137.13</v>
      </c>
      <c r="P151" s="102">
        <f t="shared" si="17"/>
        <v>-5.6747833264548131E-2</v>
      </c>
      <c r="R151" s="346">
        <v>44717</v>
      </c>
      <c r="S151">
        <v>136.19</v>
      </c>
      <c r="T151" s="102">
        <f t="shared" si="18"/>
        <v>-3.5344949709590678E-2</v>
      </c>
      <c r="V151" s="346">
        <v>44717</v>
      </c>
      <c r="W151">
        <v>109.65</v>
      </c>
      <c r="X151" s="102">
        <f t="shared" si="19"/>
        <v>-0.10380057212913762</v>
      </c>
      <c r="Z151" s="346">
        <v>44717</v>
      </c>
      <c r="AA151" s="348">
        <v>4123</v>
      </c>
      <c r="AB151" s="102">
        <f t="shared" si="20"/>
        <v>-4.049336746567378E-2</v>
      </c>
    </row>
    <row r="152" spans="2:28" x14ac:dyDescent="0.25">
      <c r="B152" s="346">
        <v>44710</v>
      </c>
      <c r="C152">
        <v>114.56</v>
      </c>
      <c r="D152" s="102">
        <f t="shared" si="14"/>
        <v>1.5602836879432758E-2</v>
      </c>
      <c r="F152" s="346">
        <v>44710</v>
      </c>
      <c r="G152">
        <v>190.78</v>
      </c>
      <c r="H152" s="102">
        <f t="shared" si="15"/>
        <v>-2.2292830420745147E-2</v>
      </c>
      <c r="J152" s="346">
        <v>44710</v>
      </c>
      <c r="K152">
        <v>270.02</v>
      </c>
      <c r="L152" s="102">
        <f t="shared" si="16"/>
        <v>-1.1784511784511897E-2</v>
      </c>
      <c r="N152" s="346">
        <v>44710</v>
      </c>
      <c r="O152">
        <v>145.38</v>
      </c>
      <c r="P152" s="102">
        <f t="shared" si="17"/>
        <v>-2.8468323977546062E-2</v>
      </c>
      <c r="R152" s="346">
        <v>44710</v>
      </c>
      <c r="S152">
        <v>141.18</v>
      </c>
      <c r="T152" s="102">
        <f t="shared" si="18"/>
        <v>1.3714367774825931E-2</v>
      </c>
      <c r="V152" s="346">
        <v>44710</v>
      </c>
      <c r="W152">
        <v>122.35</v>
      </c>
      <c r="X152" s="102">
        <f t="shared" si="19"/>
        <v>6.2527138514980374E-2</v>
      </c>
      <c r="Z152" s="346">
        <v>44710</v>
      </c>
      <c r="AA152" s="348">
        <v>4297</v>
      </c>
      <c r="AB152" s="102">
        <f t="shared" si="20"/>
        <v>-5.7843590930124478E-3</v>
      </c>
    </row>
    <row r="153" spans="2:28" x14ac:dyDescent="0.25">
      <c r="B153" s="346">
        <v>44703</v>
      </c>
      <c r="C153">
        <v>112.8</v>
      </c>
      <c r="D153" s="102">
        <f t="shared" si="14"/>
        <v>3.192754551276189E-2</v>
      </c>
      <c r="F153" s="346">
        <v>44703</v>
      </c>
      <c r="G153">
        <v>195.13</v>
      </c>
      <c r="H153" s="102">
        <f t="shared" si="15"/>
        <v>8.2153559987598879E-3</v>
      </c>
      <c r="J153" s="346">
        <v>44703</v>
      </c>
      <c r="K153">
        <v>273.24</v>
      </c>
      <c r="L153" s="102">
        <f t="shared" si="16"/>
        <v>8.1881533101045401E-2</v>
      </c>
      <c r="N153" s="346">
        <v>44703</v>
      </c>
      <c r="O153">
        <v>149.63999999999999</v>
      </c>
      <c r="P153" s="102">
        <f t="shared" si="17"/>
        <v>8.7579039174358497E-2</v>
      </c>
      <c r="R153" s="346">
        <v>44703</v>
      </c>
      <c r="S153">
        <v>139.27000000000001</v>
      </c>
      <c r="T153" s="102">
        <f t="shared" si="18"/>
        <v>8.3981942714819624E-2</v>
      </c>
      <c r="V153" s="346">
        <v>44703</v>
      </c>
      <c r="W153">
        <v>115.15</v>
      </c>
      <c r="X153" s="102">
        <f t="shared" si="19"/>
        <v>7.0266753415745065E-2</v>
      </c>
      <c r="Z153" s="346">
        <v>44703</v>
      </c>
      <c r="AA153" s="348">
        <v>4322</v>
      </c>
      <c r="AB153" s="102">
        <f t="shared" si="20"/>
        <v>6.0873834069710364E-2</v>
      </c>
    </row>
    <row r="154" spans="2:28" x14ac:dyDescent="0.25">
      <c r="B154" s="346">
        <v>44696</v>
      </c>
      <c r="C154">
        <v>109.31</v>
      </c>
      <c r="D154" s="102">
        <f t="shared" si="14"/>
        <v>-6.1877789220734614E-2</v>
      </c>
      <c r="F154" s="346">
        <v>44696</v>
      </c>
      <c r="G154">
        <v>193.54</v>
      </c>
      <c r="H154" s="102">
        <f t="shared" si="15"/>
        <v>-2.5576477696103161E-2</v>
      </c>
      <c r="J154" s="346">
        <v>44696</v>
      </c>
      <c r="K154">
        <v>252.56</v>
      </c>
      <c r="L154" s="102">
        <f t="shared" si="16"/>
        <v>-3.2781862745098089E-2</v>
      </c>
      <c r="N154" s="346">
        <v>44696</v>
      </c>
      <c r="O154">
        <v>137.59</v>
      </c>
      <c r="P154" s="102">
        <f t="shared" si="17"/>
        <v>-6.4713479709061272E-2</v>
      </c>
      <c r="R154" s="346">
        <v>44696</v>
      </c>
      <c r="S154">
        <v>128.47999999999999</v>
      </c>
      <c r="T154" s="102">
        <f t="shared" si="18"/>
        <v>-3.8323353293413187E-2</v>
      </c>
      <c r="V154" s="346">
        <v>44696</v>
      </c>
      <c r="W154">
        <v>107.59</v>
      </c>
      <c r="X154" s="102">
        <f t="shared" si="19"/>
        <v>-4.8381390412170489E-2</v>
      </c>
      <c r="Z154" s="346">
        <v>44696</v>
      </c>
      <c r="AA154" s="348">
        <v>4074</v>
      </c>
      <c r="AB154" s="102">
        <f t="shared" si="20"/>
        <v>-3.0230897405379653E-2</v>
      </c>
    </row>
    <row r="155" spans="2:28" x14ac:dyDescent="0.25">
      <c r="B155" s="346">
        <v>44689</v>
      </c>
      <c r="C155">
        <v>116.52</v>
      </c>
      <c r="D155" s="102">
        <f t="shared" si="14"/>
        <v>7.4355870655369305E-3</v>
      </c>
      <c r="F155" s="346">
        <v>44689</v>
      </c>
      <c r="G155">
        <v>198.62</v>
      </c>
      <c r="H155" s="102">
        <f t="shared" si="15"/>
        <v>-2.5273592776169251E-2</v>
      </c>
      <c r="J155" s="346">
        <v>44689</v>
      </c>
      <c r="K155">
        <v>261.12</v>
      </c>
      <c r="L155" s="102">
        <f t="shared" si="16"/>
        <v>-4.9539547919775773E-2</v>
      </c>
      <c r="N155" s="346">
        <v>44689</v>
      </c>
      <c r="O155">
        <v>147.11000000000001</v>
      </c>
      <c r="P155" s="102">
        <f t="shared" si="17"/>
        <v>-6.46617497456764E-2</v>
      </c>
      <c r="R155" s="346">
        <v>44689</v>
      </c>
      <c r="S155">
        <v>133.6</v>
      </c>
      <c r="T155" s="102">
        <f t="shared" si="18"/>
        <v>-2.956344882690487E-2</v>
      </c>
      <c r="V155" s="346">
        <v>44689</v>
      </c>
      <c r="W155">
        <v>113.06</v>
      </c>
      <c r="X155" s="102">
        <f t="shared" si="19"/>
        <v>-1.4899363945281796E-2</v>
      </c>
      <c r="Z155" s="346">
        <v>44689</v>
      </c>
      <c r="AA155" s="348">
        <v>4201</v>
      </c>
      <c r="AB155" s="102">
        <f t="shared" si="20"/>
        <v>-2.8895053166897777E-2</v>
      </c>
    </row>
    <row r="156" spans="2:28" x14ac:dyDescent="0.25">
      <c r="B156" s="346">
        <v>44682</v>
      </c>
      <c r="C156">
        <v>115.66</v>
      </c>
      <c r="D156" s="102">
        <f t="shared" si="14"/>
        <v>6.0015656258154415E-3</v>
      </c>
      <c r="F156" s="346">
        <v>44682</v>
      </c>
      <c r="G156">
        <v>203.77</v>
      </c>
      <c r="H156" s="102">
        <f t="shared" si="15"/>
        <v>1.6461315907617236E-2</v>
      </c>
      <c r="J156" s="346">
        <v>44682</v>
      </c>
      <c r="K156">
        <v>274.73</v>
      </c>
      <c r="L156" s="102">
        <f t="shared" si="16"/>
        <v>-1.0053329489766338E-2</v>
      </c>
      <c r="N156" s="346">
        <v>44682</v>
      </c>
      <c r="O156">
        <v>157.28</v>
      </c>
      <c r="P156" s="102">
        <f t="shared" si="17"/>
        <v>-2.346971138598164E-3</v>
      </c>
      <c r="R156" s="346">
        <v>44682</v>
      </c>
      <c r="S156">
        <v>137.66999999999999</v>
      </c>
      <c r="T156" s="102">
        <f t="shared" si="18"/>
        <v>4.1297935103244754E-2</v>
      </c>
      <c r="V156" s="346">
        <v>44682</v>
      </c>
      <c r="W156">
        <v>114.77</v>
      </c>
      <c r="X156" s="102">
        <f t="shared" si="19"/>
        <v>-7.6520759575152919E-2</v>
      </c>
      <c r="Z156" s="346">
        <v>44682</v>
      </c>
      <c r="AA156" s="348">
        <v>4326</v>
      </c>
      <c r="AB156" s="102">
        <f t="shared" si="20"/>
        <v>-6.8870523415978102E-3</v>
      </c>
    </row>
    <row r="157" spans="2:28" x14ac:dyDescent="0.25">
      <c r="B157" s="346">
        <v>44675</v>
      </c>
      <c r="C157">
        <v>114.97</v>
      </c>
      <c r="D157" s="102">
        <f t="shared" si="14"/>
        <v>-3.8792743081682124E-2</v>
      </c>
      <c r="F157" s="346">
        <v>44675</v>
      </c>
      <c r="G157">
        <v>200.47</v>
      </c>
      <c r="H157" s="102">
        <f t="shared" si="15"/>
        <v>8.8859920699581707E-2</v>
      </c>
      <c r="J157" s="346">
        <v>44675</v>
      </c>
      <c r="K157">
        <v>277.52</v>
      </c>
      <c r="L157" s="102">
        <f t="shared" si="16"/>
        <v>1.2735831843228906E-2</v>
      </c>
      <c r="N157" s="346">
        <v>44675</v>
      </c>
      <c r="O157">
        <v>157.65</v>
      </c>
      <c r="P157" s="102">
        <f t="shared" si="17"/>
        <v>-2.5588726126460126E-2</v>
      </c>
      <c r="R157" s="346">
        <v>44675</v>
      </c>
      <c r="S157">
        <v>132.21</v>
      </c>
      <c r="T157" s="102">
        <f t="shared" si="18"/>
        <v>-4.368896925858945E-2</v>
      </c>
      <c r="V157" s="346">
        <v>44675</v>
      </c>
      <c r="W157">
        <v>124.28</v>
      </c>
      <c r="X157" s="102">
        <f t="shared" si="19"/>
        <v>-0.13903706269483884</v>
      </c>
      <c r="Z157" s="346">
        <v>44675</v>
      </c>
      <c r="AA157" s="348">
        <v>4356</v>
      </c>
      <c r="AB157" s="102">
        <f t="shared" si="20"/>
        <v>-3.2644903397734848E-2</v>
      </c>
    </row>
    <row r="158" spans="2:28" x14ac:dyDescent="0.25">
      <c r="B158" s="346">
        <v>44668</v>
      </c>
      <c r="C158">
        <v>119.61</v>
      </c>
      <c r="D158" s="102">
        <f t="shared" si="14"/>
        <v>-6.0039292730844851E-2</v>
      </c>
      <c r="F158" s="346">
        <v>44668</v>
      </c>
      <c r="G158">
        <v>184.11</v>
      </c>
      <c r="H158" s="102">
        <f t="shared" si="15"/>
        <v>-0.12403654010847842</v>
      </c>
      <c r="J158" s="346">
        <v>44668</v>
      </c>
      <c r="K158">
        <v>274.02999999999997</v>
      </c>
      <c r="L158" s="102">
        <f t="shared" si="16"/>
        <v>-2.0726869885287491E-2</v>
      </c>
      <c r="N158" s="346">
        <v>44668</v>
      </c>
      <c r="O158">
        <v>161.79</v>
      </c>
      <c r="P158" s="102">
        <f t="shared" si="17"/>
        <v>-2.1174904712928821E-2</v>
      </c>
      <c r="R158" s="346">
        <v>44668</v>
      </c>
      <c r="S158">
        <v>138.25</v>
      </c>
      <c r="T158" s="102">
        <f t="shared" si="18"/>
        <v>9.2367256637168049E-2</v>
      </c>
      <c r="V158" s="346">
        <v>44668</v>
      </c>
      <c r="W158">
        <v>144.35</v>
      </c>
      <c r="X158" s="102">
        <f t="shared" si="19"/>
        <v>-4.8513611495616726E-2</v>
      </c>
      <c r="Z158" s="346">
        <v>44668</v>
      </c>
      <c r="AA158" s="348">
        <v>4503</v>
      </c>
      <c r="AB158" s="102">
        <f t="shared" si="20"/>
        <v>-2.0874103065883887E-2</v>
      </c>
    </row>
    <row r="159" spans="2:28" x14ac:dyDescent="0.25">
      <c r="B159" s="346">
        <v>44661</v>
      </c>
      <c r="C159">
        <v>127.25</v>
      </c>
      <c r="D159" s="102">
        <f t="shared" si="14"/>
        <v>-5.0443996716662887E-2</v>
      </c>
      <c r="F159" s="346">
        <v>44661</v>
      </c>
      <c r="G159">
        <v>210.18</v>
      </c>
      <c r="H159" s="102">
        <f t="shared" si="15"/>
        <v>-5.4648495479692416E-2</v>
      </c>
      <c r="J159" s="346">
        <v>44661</v>
      </c>
      <c r="K159">
        <v>279.83</v>
      </c>
      <c r="L159" s="102">
        <f t="shared" si="16"/>
        <v>-5.771626763646176E-2</v>
      </c>
      <c r="N159" s="346">
        <v>44661</v>
      </c>
      <c r="O159">
        <v>165.29</v>
      </c>
      <c r="P159" s="102">
        <f t="shared" si="17"/>
        <v>-2.8220353930272224E-2</v>
      </c>
      <c r="R159" s="346">
        <v>44661</v>
      </c>
      <c r="S159">
        <v>126.56</v>
      </c>
      <c r="T159" s="102">
        <f t="shared" si="18"/>
        <v>-9.1599467627025977E-3</v>
      </c>
      <c r="V159" s="346">
        <v>44661</v>
      </c>
      <c r="W159">
        <v>151.71</v>
      </c>
      <c r="X159" s="102">
        <f t="shared" si="19"/>
        <v>-1.7803962190858447E-2</v>
      </c>
      <c r="Z159" s="346">
        <v>44661</v>
      </c>
      <c r="AA159" s="348">
        <v>4599</v>
      </c>
      <c r="AB159" s="102">
        <f t="shared" si="20"/>
        <v>-2.3929537857483973E-2</v>
      </c>
    </row>
    <row r="160" spans="2:28" x14ac:dyDescent="0.25">
      <c r="B160" s="346">
        <v>44654</v>
      </c>
      <c r="C160">
        <v>134.01</v>
      </c>
      <c r="D160" s="102">
        <f t="shared" si="14"/>
        <v>-4.7547974413645999E-2</v>
      </c>
      <c r="F160" s="346">
        <v>44654</v>
      </c>
      <c r="G160">
        <v>222.33</v>
      </c>
      <c r="H160" s="102">
        <f t="shared" si="15"/>
        <v>-1.1207471647765144E-2</v>
      </c>
      <c r="J160" s="346">
        <v>44654</v>
      </c>
      <c r="K160">
        <v>296.97000000000003</v>
      </c>
      <c r="L160" s="102">
        <f t="shared" si="16"/>
        <v>-4.0236571650184128E-2</v>
      </c>
      <c r="N160" s="346">
        <v>44654</v>
      </c>
      <c r="O160">
        <v>170.09</v>
      </c>
      <c r="P160" s="102">
        <f t="shared" si="17"/>
        <v>-2.4209741265561302E-2</v>
      </c>
      <c r="R160" s="346">
        <v>44654</v>
      </c>
      <c r="S160">
        <v>127.73</v>
      </c>
      <c r="T160" s="102">
        <f t="shared" si="18"/>
        <v>-1.8593930080676113E-2</v>
      </c>
      <c r="V160" s="346">
        <v>44654</v>
      </c>
      <c r="W160">
        <v>154.46</v>
      </c>
      <c r="X160" s="102">
        <f t="shared" si="19"/>
        <v>-5.5637075079481457E-2</v>
      </c>
      <c r="Z160" s="346">
        <v>44654</v>
      </c>
      <c r="AA160" s="348">
        <v>4711.75</v>
      </c>
      <c r="AB160" s="102">
        <f t="shared" si="20"/>
        <v>-5.8550480008440209E-3</v>
      </c>
    </row>
    <row r="161" spans="2:28" x14ac:dyDescent="0.25">
      <c r="B161" s="346">
        <v>44647</v>
      </c>
      <c r="C161">
        <v>140.69999999999999</v>
      </c>
      <c r="D161" s="102">
        <f t="shared" si="14"/>
        <v>-5.7942340305259243E-3</v>
      </c>
      <c r="F161" s="346">
        <v>44647</v>
      </c>
      <c r="G161">
        <v>224.85</v>
      </c>
      <c r="H161" s="102">
        <f t="shared" si="15"/>
        <v>1.3659724100622217E-2</v>
      </c>
      <c r="J161" s="346">
        <v>44647</v>
      </c>
      <c r="K161">
        <v>309.42</v>
      </c>
      <c r="L161" s="102">
        <f t="shared" si="16"/>
        <v>1.8901475237091736E-2</v>
      </c>
      <c r="N161" s="346">
        <v>44647</v>
      </c>
      <c r="O161">
        <v>174.31</v>
      </c>
      <c r="P161" s="102">
        <f t="shared" si="17"/>
        <v>-2.3466117216116578E-3</v>
      </c>
      <c r="R161" s="346">
        <v>44647</v>
      </c>
      <c r="S161">
        <v>130.15</v>
      </c>
      <c r="T161" s="102">
        <f t="shared" si="18"/>
        <v>-9.1358964598400316E-3</v>
      </c>
      <c r="V161" s="346">
        <v>44647</v>
      </c>
      <c r="W161">
        <v>163.56</v>
      </c>
      <c r="X161" s="102">
        <f t="shared" si="19"/>
        <v>-7.3435698246040459E-3</v>
      </c>
      <c r="Z161" s="346">
        <v>44647</v>
      </c>
      <c r="AA161" s="348">
        <v>4739.5</v>
      </c>
      <c r="AB161" s="102">
        <f t="shared" si="20"/>
        <v>1.1618081960287352E-3</v>
      </c>
    </row>
    <row r="162" spans="2:28" x14ac:dyDescent="0.25">
      <c r="B162" s="346">
        <v>44640</v>
      </c>
      <c r="C162">
        <v>141.52000000000001</v>
      </c>
      <c r="D162" s="102">
        <f t="shared" si="14"/>
        <v>3.4502923976608146E-2</v>
      </c>
      <c r="F162" s="346">
        <v>44640</v>
      </c>
      <c r="G162">
        <v>221.82</v>
      </c>
      <c r="H162" s="102">
        <f t="shared" si="15"/>
        <v>2.4620074830246086E-2</v>
      </c>
      <c r="J162" s="346">
        <v>44640</v>
      </c>
      <c r="K162">
        <v>303.68</v>
      </c>
      <c r="L162" s="102">
        <f t="shared" si="16"/>
        <v>1.081782778018181E-2</v>
      </c>
      <c r="N162" s="346">
        <v>44640</v>
      </c>
      <c r="O162">
        <v>174.72</v>
      </c>
      <c r="P162" s="102">
        <f t="shared" si="17"/>
        <v>6.5495792169776967E-2</v>
      </c>
      <c r="R162" s="346">
        <v>44640</v>
      </c>
      <c r="S162">
        <v>131.35</v>
      </c>
      <c r="T162" s="102">
        <f t="shared" si="18"/>
        <v>2.0114942528735691E-2</v>
      </c>
      <c r="V162" s="346">
        <v>44640</v>
      </c>
      <c r="W162">
        <v>164.77</v>
      </c>
      <c r="X162" s="102">
        <f t="shared" si="19"/>
        <v>2.1829457364341165E-2</v>
      </c>
      <c r="Z162" s="346">
        <v>44640</v>
      </c>
      <c r="AA162" s="348">
        <v>4734</v>
      </c>
      <c r="AB162" s="102">
        <f t="shared" si="20"/>
        <v>2.9802044811833905E-2</v>
      </c>
    </row>
    <row r="163" spans="2:28" x14ac:dyDescent="0.25">
      <c r="B163" s="346">
        <v>44633</v>
      </c>
      <c r="C163">
        <v>136.80000000000001</v>
      </c>
      <c r="D163" s="102">
        <f t="shared" si="14"/>
        <v>4.8436541998774008E-2</v>
      </c>
      <c r="F163" s="346">
        <v>44633</v>
      </c>
      <c r="G163">
        <v>216.49</v>
      </c>
      <c r="H163" s="102">
        <f t="shared" si="15"/>
        <v>0.15393635733702893</v>
      </c>
      <c r="J163" s="346">
        <v>44633</v>
      </c>
      <c r="K163">
        <v>300.43</v>
      </c>
      <c r="L163" s="102">
        <f t="shared" si="16"/>
        <v>7.2696111686364251E-2</v>
      </c>
      <c r="N163" s="346">
        <v>44633</v>
      </c>
      <c r="O163">
        <v>163.98</v>
      </c>
      <c r="P163" s="102">
        <f t="shared" si="17"/>
        <v>5.9781554966716222E-2</v>
      </c>
      <c r="R163" s="346">
        <v>44633</v>
      </c>
      <c r="S163">
        <v>128.76</v>
      </c>
      <c r="T163" s="102">
        <f t="shared" si="18"/>
        <v>3.8722168441432725E-2</v>
      </c>
      <c r="V163" s="346">
        <v>44633</v>
      </c>
      <c r="W163">
        <v>161.25</v>
      </c>
      <c r="X163" s="102">
        <f t="shared" si="19"/>
        <v>0.10809510720175908</v>
      </c>
      <c r="Z163" s="346">
        <v>44633</v>
      </c>
      <c r="AA163" s="348">
        <v>4597</v>
      </c>
      <c r="AB163" s="102">
        <f t="shared" si="20"/>
        <v>6.7828106852497072E-2</v>
      </c>
    </row>
    <row r="164" spans="2:28" x14ac:dyDescent="0.25">
      <c r="B164" s="346">
        <v>44626</v>
      </c>
      <c r="C164">
        <v>130.47999999999999</v>
      </c>
      <c r="D164" s="102">
        <f t="shared" si="14"/>
        <v>-1.241295791704522E-2</v>
      </c>
      <c r="F164" s="346">
        <v>44626</v>
      </c>
      <c r="G164">
        <v>187.61</v>
      </c>
      <c r="H164" s="102">
        <f t="shared" si="15"/>
        <v>-6.2231330600819645E-2</v>
      </c>
      <c r="J164" s="346">
        <v>44626</v>
      </c>
      <c r="K164">
        <v>280.07</v>
      </c>
      <c r="L164" s="102">
        <f t="shared" si="16"/>
        <v>-3.3774925826261071E-2</v>
      </c>
      <c r="N164" s="346">
        <v>44626</v>
      </c>
      <c r="O164">
        <v>154.72999999999999</v>
      </c>
      <c r="P164" s="102">
        <f t="shared" si="17"/>
        <v>-5.1725194582337375E-2</v>
      </c>
      <c r="R164" s="346">
        <v>44626</v>
      </c>
      <c r="S164">
        <v>123.96</v>
      </c>
      <c r="T164" s="102">
        <f t="shared" si="18"/>
        <v>-2.1007739693571392E-2</v>
      </c>
      <c r="V164" s="346">
        <v>44626</v>
      </c>
      <c r="W164">
        <v>145.52000000000001</v>
      </c>
      <c r="X164" s="102">
        <f t="shared" si="19"/>
        <v>-8.2394946443264949E-4</v>
      </c>
      <c r="Z164" s="346">
        <v>44626</v>
      </c>
      <c r="AA164" s="348">
        <v>4305</v>
      </c>
      <c r="AB164" s="102">
        <f t="shared" si="20"/>
        <v>-2.3366606170598936E-2</v>
      </c>
    </row>
    <row r="165" spans="2:28" x14ac:dyDescent="0.25">
      <c r="B165" s="346">
        <v>44619</v>
      </c>
      <c r="C165">
        <v>132.12</v>
      </c>
      <c r="D165" s="102">
        <f t="shared" si="14"/>
        <v>-1.7841213202497763E-2</v>
      </c>
      <c r="F165" s="346">
        <v>44619</v>
      </c>
      <c r="G165">
        <v>200.06</v>
      </c>
      <c r="H165" s="102">
        <f t="shared" si="15"/>
        <v>-4.9505891296085069E-2</v>
      </c>
      <c r="J165" s="346">
        <v>44619</v>
      </c>
      <c r="K165">
        <v>289.86</v>
      </c>
      <c r="L165" s="102">
        <f t="shared" si="16"/>
        <v>-2.5058020248225676E-2</v>
      </c>
      <c r="N165" s="346">
        <v>44619</v>
      </c>
      <c r="O165">
        <v>163.16999999999999</v>
      </c>
      <c r="P165" s="102">
        <f t="shared" si="17"/>
        <v>-1.0191082802547768E-2</v>
      </c>
      <c r="R165" s="346">
        <v>44619</v>
      </c>
      <c r="S165">
        <v>126.62</v>
      </c>
      <c r="T165" s="102">
        <f t="shared" si="18"/>
        <v>1.9648896762763712E-2</v>
      </c>
      <c r="V165" s="346">
        <v>44619</v>
      </c>
      <c r="W165">
        <v>145.63999999999999</v>
      </c>
      <c r="X165" s="102">
        <f t="shared" si="19"/>
        <v>-5.2994342935171357E-2</v>
      </c>
      <c r="Z165" s="346">
        <v>44619</v>
      </c>
      <c r="AA165" s="348">
        <v>4408</v>
      </c>
      <c r="AB165" s="102">
        <f t="shared" si="20"/>
        <v>-1.370476030653911E-2</v>
      </c>
    </row>
    <row r="166" spans="2:28" x14ac:dyDescent="0.25">
      <c r="B166" s="346">
        <v>44612</v>
      </c>
      <c r="C166">
        <v>134.52000000000001</v>
      </c>
      <c r="D166" s="102">
        <f t="shared" si="14"/>
        <v>3.1041618762934098E-2</v>
      </c>
      <c r="F166" s="346">
        <v>44612</v>
      </c>
      <c r="G166">
        <v>210.48</v>
      </c>
      <c r="H166" s="102">
        <f t="shared" si="15"/>
        <v>2.0954598370197974E-2</v>
      </c>
      <c r="J166" s="346">
        <v>44612</v>
      </c>
      <c r="K166">
        <v>297.31</v>
      </c>
      <c r="L166" s="102">
        <f t="shared" si="16"/>
        <v>3.257736255339827E-2</v>
      </c>
      <c r="N166" s="346">
        <v>44612</v>
      </c>
      <c r="O166">
        <v>164.85</v>
      </c>
      <c r="P166" s="102">
        <f t="shared" si="17"/>
        <v>-1.4644351464435212E-2</v>
      </c>
      <c r="R166" s="346">
        <v>44612</v>
      </c>
      <c r="S166">
        <v>124.18</v>
      </c>
      <c r="T166" s="102">
        <f t="shared" si="18"/>
        <v>-1.3671089666263958E-3</v>
      </c>
      <c r="V166" s="346">
        <v>44612</v>
      </c>
      <c r="W166">
        <v>153.79</v>
      </c>
      <c r="X166" s="102">
        <f t="shared" si="19"/>
        <v>7.7981651376146655E-3</v>
      </c>
      <c r="Z166" s="346">
        <v>44612</v>
      </c>
      <c r="AA166" s="348">
        <v>4469.25</v>
      </c>
      <c r="AB166" s="102">
        <f t="shared" si="20"/>
        <v>8.6892738249733092E-3</v>
      </c>
    </row>
    <row r="167" spans="2:28" x14ac:dyDescent="0.25">
      <c r="B167" s="346">
        <v>44605</v>
      </c>
      <c r="C167">
        <v>130.47</v>
      </c>
      <c r="D167" s="102">
        <f t="shared" si="14"/>
        <v>-2.7286960411540995E-2</v>
      </c>
      <c r="F167" s="346">
        <v>44605</v>
      </c>
      <c r="G167">
        <v>206.16</v>
      </c>
      <c r="H167" s="102">
        <f t="shared" si="15"/>
        <v>-6.0988385333637041E-2</v>
      </c>
      <c r="J167" s="346">
        <v>44605</v>
      </c>
      <c r="K167">
        <v>287.93</v>
      </c>
      <c r="L167" s="102">
        <f t="shared" si="16"/>
        <v>-2.4098427331887273E-2</v>
      </c>
      <c r="N167" s="346">
        <v>44605</v>
      </c>
      <c r="O167">
        <v>167.3</v>
      </c>
      <c r="P167" s="102">
        <f t="shared" si="17"/>
        <v>-7.9459203036051917E-3</v>
      </c>
      <c r="R167" s="346">
        <v>44605</v>
      </c>
      <c r="S167">
        <v>124.35</v>
      </c>
      <c r="T167" s="102">
        <f t="shared" si="18"/>
        <v>-6.2853267013339376E-2</v>
      </c>
      <c r="V167" s="346">
        <v>44605</v>
      </c>
      <c r="W167">
        <v>152.6</v>
      </c>
      <c r="X167" s="102">
        <f t="shared" si="19"/>
        <v>-4.5012720986365995E-3</v>
      </c>
      <c r="Z167" s="346">
        <v>44605</v>
      </c>
      <c r="AA167" s="348">
        <v>4430.75</v>
      </c>
      <c r="AB167" s="102">
        <f t="shared" si="20"/>
        <v>-1.7789847040567519E-2</v>
      </c>
    </row>
    <row r="168" spans="2:28" x14ac:dyDescent="0.25">
      <c r="B168" s="346">
        <v>44598</v>
      </c>
      <c r="C168">
        <v>134.13</v>
      </c>
      <c r="D168" s="102">
        <f t="shared" si="14"/>
        <v>-6.2159138582016604E-2</v>
      </c>
      <c r="F168" s="346">
        <v>44598</v>
      </c>
      <c r="G168">
        <v>219.55</v>
      </c>
      <c r="H168" s="102">
        <f t="shared" si="15"/>
        <v>-7.3980345016660287E-2</v>
      </c>
      <c r="J168" s="346">
        <v>44598</v>
      </c>
      <c r="K168">
        <v>295.04000000000002</v>
      </c>
      <c r="L168" s="102">
        <f t="shared" si="16"/>
        <v>-3.5627900895600417E-2</v>
      </c>
      <c r="N168" s="346">
        <v>44598</v>
      </c>
      <c r="O168">
        <v>168.64</v>
      </c>
      <c r="P168" s="102">
        <f t="shared" si="17"/>
        <v>-2.1753001914264214E-2</v>
      </c>
      <c r="R168" s="346">
        <v>44598</v>
      </c>
      <c r="S168">
        <v>132.69</v>
      </c>
      <c r="T168" s="102">
        <f t="shared" si="18"/>
        <v>-3.2519139628144456E-2</v>
      </c>
      <c r="V168" s="346">
        <v>44598</v>
      </c>
      <c r="W168">
        <v>153.29</v>
      </c>
      <c r="X168" s="102">
        <f t="shared" si="19"/>
        <v>-2.759451915757416E-2</v>
      </c>
      <c r="Z168" s="346">
        <v>44598</v>
      </c>
      <c r="AA168" s="348">
        <v>4511</v>
      </c>
      <c r="AB168" s="102">
        <f t="shared" si="20"/>
        <v>-1.447375607624668E-2</v>
      </c>
    </row>
    <row r="169" spans="2:28" x14ac:dyDescent="0.25">
      <c r="B169" s="346">
        <v>44591</v>
      </c>
      <c r="C169">
        <v>143.02000000000001</v>
      </c>
      <c r="D169" s="102">
        <f t="shared" si="14"/>
        <v>7.2998724585490393E-2</v>
      </c>
      <c r="F169" s="346">
        <v>44591</v>
      </c>
      <c r="G169">
        <v>237.09</v>
      </c>
      <c r="H169" s="102">
        <f t="shared" si="15"/>
        <v>-0.21417917868151526</v>
      </c>
      <c r="J169" s="346">
        <v>44591</v>
      </c>
      <c r="K169">
        <v>305.94</v>
      </c>
      <c r="L169" s="102">
        <f t="shared" si="16"/>
        <v>-7.5261143190812341E-3</v>
      </c>
      <c r="N169" s="346">
        <v>44591</v>
      </c>
      <c r="O169">
        <v>172.39</v>
      </c>
      <c r="P169" s="102">
        <f t="shared" si="17"/>
        <v>1.2094170140315663E-2</v>
      </c>
      <c r="R169" s="346">
        <v>44591</v>
      </c>
      <c r="S169">
        <v>137.15</v>
      </c>
      <c r="T169" s="102">
        <f t="shared" si="18"/>
        <v>1.9702602230483368E-2</v>
      </c>
      <c r="V169" s="346">
        <v>44591</v>
      </c>
      <c r="W169">
        <v>157.63999999999999</v>
      </c>
      <c r="X169" s="102">
        <f t="shared" si="19"/>
        <v>9.4874288095568859E-2</v>
      </c>
      <c r="Z169" s="346">
        <v>44591</v>
      </c>
      <c r="AA169" s="348">
        <v>4577.25</v>
      </c>
      <c r="AB169" s="102">
        <f t="shared" si="20"/>
        <v>2.1593572145965911E-2</v>
      </c>
    </row>
    <row r="170" spans="2:28" x14ac:dyDescent="0.25">
      <c r="B170" s="346">
        <v>44584</v>
      </c>
      <c r="C170">
        <v>133.29</v>
      </c>
      <c r="D170" s="102">
        <f t="shared" si="14"/>
        <v>2.4598354985010396E-2</v>
      </c>
      <c r="F170" s="346">
        <v>44584</v>
      </c>
      <c r="G170">
        <v>301.70999999999998</v>
      </c>
      <c r="H170" s="102">
        <f t="shared" si="15"/>
        <v>-4.8157799254544553E-3</v>
      </c>
      <c r="J170" s="346">
        <v>44584</v>
      </c>
      <c r="K170">
        <v>308.26</v>
      </c>
      <c r="L170" s="102">
        <f t="shared" si="16"/>
        <v>4.1313380400635147E-2</v>
      </c>
      <c r="N170" s="346">
        <v>44584</v>
      </c>
      <c r="O170">
        <v>170.33</v>
      </c>
      <c r="P170" s="102">
        <f t="shared" si="17"/>
        <v>4.8765470106520548E-2</v>
      </c>
      <c r="R170" s="346">
        <v>44584</v>
      </c>
      <c r="S170">
        <v>134.5</v>
      </c>
      <c r="T170" s="102">
        <f t="shared" si="18"/>
        <v>3.9814456899884165E-2</v>
      </c>
      <c r="V170" s="346">
        <v>44584</v>
      </c>
      <c r="W170">
        <v>143.97999999999999</v>
      </c>
      <c r="X170" s="102">
        <f t="shared" si="19"/>
        <v>9.3942793045429518E-3</v>
      </c>
      <c r="Z170" s="346">
        <v>44584</v>
      </c>
      <c r="AA170" s="348">
        <v>4480.5</v>
      </c>
      <c r="AB170" s="102">
        <f t="shared" si="20"/>
        <v>6.967074952241914E-3</v>
      </c>
    </row>
    <row r="171" spans="2:28" x14ac:dyDescent="0.25">
      <c r="B171" s="346">
        <v>44577</v>
      </c>
      <c r="C171">
        <v>130.09</v>
      </c>
      <c r="D171" s="102">
        <f t="shared" si="14"/>
        <v>-6.9389798984190509E-2</v>
      </c>
      <c r="F171" s="346">
        <v>44577</v>
      </c>
      <c r="G171">
        <v>303.17</v>
      </c>
      <c r="H171" s="102">
        <f t="shared" si="15"/>
        <v>-8.6562217535402164E-2</v>
      </c>
      <c r="J171" s="346">
        <v>44577</v>
      </c>
      <c r="K171">
        <v>296.02999999999997</v>
      </c>
      <c r="L171" s="102">
        <f t="shared" si="16"/>
        <v>-4.5680206318504224E-2</v>
      </c>
      <c r="N171" s="346">
        <v>44577</v>
      </c>
      <c r="O171">
        <v>162.41</v>
      </c>
      <c r="P171" s="102">
        <f t="shared" si="17"/>
        <v>-6.1593574854105215E-2</v>
      </c>
      <c r="R171" s="346">
        <v>44577</v>
      </c>
      <c r="S171">
        <v>129.35</v>
      </c>
      <c r="T171" s="102">
        <f t="shared" si="18"/>
        <v>-3.6211906713359721E-2</v>
      </c>
      <c r="V171" s="346">
        <v>44577</v>
      </c>
      <c r="W171">
        <v>142.63999999999999</v>
      </c>
      <c r="X171" s="102">
        <f t="shared" si="19"/>
        <v>-0.12026643641297641</v>
      </c>
      <c r="Z171" s="346">
        <v>44577</v>
      </c>
      <c r="AA171" s="348">
        <v>4449.5</v>
      </c>
      <c r="AB171" s="102">
        <f t="shared" si="20"/>
        <v>-5.6809750927398039E-2</v>
      </c>
    </row>
    <row r="172" spans="2:28" x14ac:dyDescent="0.25">
      <c r="B172" s="346">
        <v>44570</v>
      </c>
      <c r="C172">
        <v>139.79</v>
      </c>
      <c r="D172" s="102">
        <f t="shared" si="14"/>
        <v>2.036496350364958E-2</v>
      </c>
      <c r="F172" s="346">
        <v>44570</v>
      </c>
      <c r="G172">
        <v>331.9</v>
      </c>
      <c r="H172" s="102">
        <f t="shared" si="15"/>
        <v>3.3153500708271721E-4</v>
      </c>
      <c r="J172" s="346">
        <v>44570</v>
      </c>
      <c r="K172">
        <v>310.2</v>
      </c>
      <c r="L172" s="102">
        <f t="shared" si="16"/>
        <v>-1.2227741688956906E-2</v>
      </c>
      <c r="N172" s="346">
        <v>44570</v>
      </c>
      <c r="O172">
        <v>173.07</v>
      </c>
      <c r="P172" s="102">
        <f t="shared" si="17"/>
        <v>5.2273915316256581E-3</v>
      </c>
      <c r="R172" s="346">
        <v>44570</v>
      </c>
      <c r="S172">
        <v>134.21</v>
      </c>
      <c r="T172" s="102">
        <f t="shared" si="18"/>
        <v>-4.598383149150842E-3</v>
      </c>
      <c r="V172" s="346">
        <v>44570</v>
      </c>
      <c r="W172">
        <v>162.13999999999999</v>
      </c>
      <c r="X172" s="102">
        <f t="shared" si="19"/>
        <v>-2.5223008305138572E-3</v>
      </c>
      <c r="Z172" s="346">
        <v>44570</v>
      </c>
      <c r="AA172" s="348">
        <v>4717.5</v>
      </c>
      <c r="AB172" s="102">
        <f t="shared" si="20"/>
        <v>-1.1116404637129262E-3</v>
      </c>
    </row>
    <row r="173" spans="2:28" x14ac:dyDescent="0.25">
      <c r="B173" s="346">
        <v>44563</v>
      </c>
      <c r="C173">
        <v>137</v>
      </c>
      <c r="D173" s="102">
        <f t="shared" si="14"/>
        <v>-5.3082665192148215E-2</v>
      </c>
      <c r="F173" s="346">
        <v>44563</v>
      </c>
      <c r="G173">
        <v>331.79</v>
      </c>
      <c r="H173" s="102">
        <f t="shared" si="15"/>
        <v>-1.3557306377285583E-2</v>
      </c>
      <c r="J173" s="346">
        <v>44563</v>
      </c>
      <c r="K173">
        <v>314.04000000000002</v>
      </c>
      <c r="L173" s="102">
        <f t="shared" si="16"/>
        <v>-6.624643196955271E-2</v>
      </c>
      <c r="N173" s="346">
        <v>44563</v>
      </c>
      <c r="O173">
        <v>172.17</v>
      </c>
      <c r="P173" s="102">
        <f t="shared" si="17"/>
        <v>-3.0410542321338108E-2</v>
      </c>
      <c r="R173" s="346">
        <v>44563</v>
      </c>
      <c r="S173">
        <v>134.83000000000001</v>
      </c>
      <c r="T173" s="102">
        <f t="shared" si="18"/>
        <v>8.7535537932068586E-3</v>
      </c>
      <c r="V173" s="346">
        <v>44563</v>
      </c>
      <c r="W173">
        <v>162.55000000000001</v>
      </c>
      <c r="X173" s="102">
        <f t="shared" si="19"/>
        <v>-2.5011996161228289E-2</v>
      </c>
      <c r="Z173" s="346">
        <v>44563</v>
      </c>
      <c r="AA173" s="348">
        <v>4722.75</v>
      </c>
      <c r="AB173" s="102">
        <f t="shared" si="20"/>
        <v>-1.424546023794615E-2</v>
      </c>
    </row>
    <row r="174" spans="2:28" x14ac:dyDescent="0.25">
      <c r="B174" s="346">
        <v>44556</v>
      </c>
      <c r="C174">
        <v>144.68</v>
      </c>
      <c r="D174" s="102">
        <f t="shared" si="14"/>
        <v>-1.6718771238276364E-2</v>
      </c>
      <c r="F174" s="346">
        <v>44556</v>
      </c>
      <c r="G174">
        <v>336.35</v>
      </c>
      <c r="H174" s="102">
        <f t="shared" si="15"/>
        <v>3.3110607326094499E-3</v>
      </c>
      <c r="J174" s="346">
        <v>44556</v>
      </c>
      <c r="K174">
        <v>336.32</v>
      </c>
      <c r="L174" s="102">
        <f t="shared" si="16"/>
        <v>4.8701783740177085E-3</v>
      </c>
      <c r="N174" s="346">
        <v>44556</v>
      </c>
      <c r="O174">
        <v>177.57</v>
      </c>
      <c r="P174" s="102">
        <f t="shared" si="17"/>
        <v>7.3179033356023382E-3</v>
      </c>
      <c r="R174" s="346">
        <v>44556</v>
      </c>
      <c r="S174">
        <v>133.66</v>
      </c>
      <c r="T174" s="102">
        <f t="shared" si="18"/>
        <v>2.3195284391028137E-2</v>
      </c>
      <c r="V174" s="346">
        <v>44556</v>
      </c>
      <c r="W174">
        <v>166.72</v>
      </c>
      <c r="X174" s="102">
        <f t="shared" si="19"/>
        <v>-2.5428187291751891E-2</v>
      </c>
      <c r="Z174" s="346">
        <v>44556</v>
      </c>
      <c r="AA174" s="348">
        <v>4791</v>
      </c>
      <c r="AB174" s="102">
        <f t="shared" si="20"/>
        <v>8.5254183770129277E-3</v>
      </c>
    </row>
    <row r="175" spans="2:28" x14ac:dyDescent="0.25">
      <c r="B175" s="346">
        <v>44549</v>
      </c>
      <c r="C175">
        <v>147.13999999999999</v>
      </c>
      <c r="D175" s="102">
        <f t="shared" si="14"/>
        <v>3.039215686274499E-2</v>
      </c>
      <c r="F175" s="346">
        <v>44549</v>
      </c>
      <c r="G175">
        <v>335.24</v>
      </c>
      <c r="H175" s="102">
        <f t="shared" si="15"/>
        <v>4.3440486533448119E-3</v>
      </c>
      <c r="J175" s="346">
        <v>44549</v>
      </c>
      <c r="K175">
        <v>334.69</v>
      </c>
      <c r="L175" s="102">
        <f t="shared" si="16"/>
        <v>3.3631871525632961E-2</v>
      </c>
      <c r="N175" s="346">
        <v>44549</v>
      </c>
      <c r="O175">
        <v>176.28</v>
      </c>
      <c r="P175" s="102">
        <f t="shared" si="17"/>
        <v>3.0033890382143325E-2</v>
      </c>
      <c r="R175" s="346">
        <v>44549</v>
      </c>
      <c r="S175">
        <v>130.63</v>
      </c>
      <c r="T175" s="102">
        <f t="shared" si="18"/>
        <v>2.5353218210361073E-2</v>
      </c>
      <c r="V175" s="346">
        <v>44549</v>
      </c>
      <c r="W175">
        <v>171.07</v>
      </c>
      <c r="X175" s="102">
        <f t="shared" si="19"/>
        <v>6.1757440301140054E-3</v>
      </c>
      <c r="Z175" s="346">
        <v>44549</v>
      </c>
      <c r="AA175" s="348">
        <v>4750.5</v>
      </c>
      <c r="AB175" s="102">
        <f t="shared" si="20"/>
        <v>2.4863815328191485E-2</v>
      </c>
    </row>
    <row r="176" spans="2:28" x14ac:dyDescent="0.25">
      <c r="B176" s="346">
        <v>44542</v>
      </c>
      <c r="C176">
        <v>142.80000000000001</v>
      </c>
      <c r="D176" s="102">
        <f t="shared" si="14"/>
        <v>-3.9548022598870025E-2</v>
      </c>
      <c r="F176" s="346">
        <v>44542</v>
      </c>
      <c r="G176">
        <v>333.79</v>
      </c>
      <c r="H176" s="102">
        <f t="shared" si="15"/>
        <v>1.2251705837756033E-2</v>
      </c>
      <c r="J176" s="346">
        <v>44542</v>
      </c>
      <c r="K176">
        <v>323.8</v>
      </c>
      <c r="L176" s="102">
        <f t="shared" si="16"/>
        <v>-5.4708939102002696E-2</v>
      </c>
      <c r="N176" s="346">
        <v>44542</v>
      </c>
      <c r="O176">
        <v>171.14</v>
      </c>
      <c r="P176" s="102">
        <f t="shared" si="17"/>
        <v>-4.6308163833937099E-2</v>
      </c>
      <c r="R176" s="346">
        <v>44542</v>
      </c>
      <c r="S176">
        <v>127.4</v>
      </c>
      <c r="T176" s="102">
        <f t="shared" si="18"/>
        <v>2.6674188089290007E-2</v>
      </c>
      <c r="V176" s="346">
        <v>44542</v>
      </c>
      <c r="W176">
        <v>170.02</v>
      </c>
      <c r="X176" s="102">
        <f t="shared" si="19"/>
        <v>-1.2717031531269907E-2</v>
      </c>
      <c r="Z176" s="346">
        <v>44542</v>
      </c>
      <c r="AA176" s="348">
        <v>4635.25</v>
      </c>
      <c r="AB176" s="102">
        <f t="shared" si="20"/>
        <v>-2.1273226351351315E-2</v>
      </c>
    </row>
    <row r="177" spans="2:28" x14ac:dyDescent="0.25">
      <c r="B177" s="346">
        <v>44535</v>
      </c>
      <c r="C177">
        <v>148.68</v>
      </c>
      <c r="D177" s="102">
        <f t="shared" si="14"/>
        <v>4.3222003929273001E-2</v>
      </c>
      <c r="F177" s="346">
        <v>44535</v>
      </c>
      <c r="G177">
        <v>329.75</v>
      </c>
      <c r="H177" s="102">
        <f t="shared" si="15"/>
        <v>7.4664320166862197E-2</v>
      </c>
      <c r="J177" s="346">
        <v>44535</v>
      </c>
      <c r="K177">
        <v>342.54</v>
      </c>
      <c r="L177" s="102">
        <f t="shared" si="16"/>
        <v>6.0462524380050287E-2</v>
      </c>
      <c r="N177" s="346">
        <v>44535</v>
      </c>
      <c r="O177">
        <v>179.45</v>
      </c>
      <c r="P177" s="102">
        <f t="shared" si="17"/>
        <v>0.10881117152743447</v>
      </c>
      <c r="R177" s="346">
        <v>44535</v>
      </c>
      <c r="S177">
        <v>124.09</v>
      </c>
      <c r="T177" s="102">
        <f t="shared" si="18"/>
        <v>4.4177044766072093E-2</v>
      </c>
      <c r="V177" s="346">
        <v>44535</v>
      </c>
      <c r="W177">
        <v>172.21</v>
      </c>
      <c r="X177" s="102">
        <f t="shared" si="19"/>
        <v>1.6048144433299827E-2</v>
      </c>
      <c r="Z177" s="346">
        <v>44535</v>
      </c>
      <c r="AA177" s="348">
        <v>4736</v>
      </c>
      <c r="AB177" s="102">
        <f t="shared" si="20"/>
        <v>4.2138849158323222E-2</v>
      </c>
    </row>
    <row r="178" spans="2:28" x14ac:dyDescent="0.25">
      <c r="B178" s="346">
        <v>44528</v>
      </c>
      <c r="C178">
        <v>142.52000000000001</v>
      </c>
      <c r="D178" s="102">
        <f t="shared" si="14"/>
        <v>-2.0306701211398881E-3</v>
      </c>
      <c r="F178" s="346">
        <v>44528</v>
      </c>
      <c r="G178">
        <v>306.83999999999997</v>
      </c>
      <c r="H178" s="102">
        <f t="shared" si="15"/>
        <v>-7.8890489913544748E-2</v>
      </c>
      <c r="J178" s="346">
        <v>44528</v>
      </c>
      <c r="K178">
        <v>323.01</v>
      </c>
      <c r="L178" s="102">
        <f t="shared" si="16"/>
        <v>-2.0231739868963872E-2</v>
      </c>
      <c r="N178" s="346">
        <v>44528</v>
      </c>
      <c r="O178">
        <v>161.84</v>
      </c>
      <c r="P178" s="102">
        <f t="shared" si="17"/>
        <v>3.2077035903322448E-2</v>
      </c>
      <c r="R178" s="346">
        <v>44528</v>
      </c>
      <c r="S178">
        <v>118.84</v>
      </c>
      <c r="T178" s="102">
        <f t="shared" si="18"/>
        <v>2.6163543735428618E-2</v>
      </c>
      <c r="V178" s="346">
        <v>44528</v>
      </c>
      <c r="W178">
        <v>169.49</v>
      </c>
      <c r="X178" s="102">
        <f t="shared" si="19"/>
        <v>-3.2756948011185227E-2</v>
      </c>
      <c r="Z178" s="346">
        <v>44528</v>
      </c>
      <c r="AA178" s="348">
        <v>4544.5</v>
      </c>
      <c r="AB178" s="102">
        <f t="shared" si="20"/>
        <v>-1.3833884880377623E-2</v>
      </c>
    </row>
    <row r="179" spans="2:28" x14ac:dyDescent="0.25">
      <c r="B179" s="346">
        <v>44521</v>
      </c>
      <c r="C179">
        <v>142.81</v>
      </c>
      <c r="D179" s="102">
        <f t="shared" si="14"/>
        <v>-4.7615871957318978E-2</v>
      </c>
      <c r="F179" s="346">
        <v>44521</v>
      </c>
      <c r="G179">
        <v>333.12</v>
      </c>
      <c r="H179" s="102">
        <f t="shared" si="15"/>
        <v>-3.527367506516077E-2</v>
      </c>
      <c r="J179" s="346">
        <v>44521</v>
      </c>
      <c r="K179">
        <v>329.68</v>
      </c>
      <c r="L179" s="102">
        <f t="shared" si="16"/>
        <v>-3.9141966133310002E-2</v>
      </c>
      <c r="N179" s="346">
        <v>44521</v>
      </c>
      <c r="O179">
        <v>156.81</v>
      </c>
      <c r="P179" s="102">
        <f t="shared" si="17"/>
        <v>-2.3294923699782033E-2</v>
      </c>
      <c r="R179" s="346">
        <v>44521</v>
      </c>
      <c r="S179">
        <v>115.81</v>
      </c>
      <c r="T179" s="102">
        <f t="shared" si="18"/>
        <v>-2.0680741059887486E-3</v>
      </c>
      <c r="V179" s="346">
        <v>44521</v>
      </c>
      <c r="W179">
        <v>175.23</v>
      </c>
      <c r="X179" s="102">
        <f t="shared" si="19"/>
        <v>-4.678235326116531E-2</v>
      </c>
      <c r="Z179" s="346">
        <v>44521</v>
      </c>
      <c r="AA179" s="348">
        <v>4608.25</v>
      </c>
      <c r="AB179" s="102">
        <f t="shared" si="20"/>
        <v>-1.9208257954666408E-2</v>
      </c>
    </row>
    <row r="180" spans="2:28" x14ac:dyDescent="0.25">
      <c r="B180" s="346">
        <v>44514</v>
      </c>
      <c r="C180">
        <v>149.94999999999999</v>
      </c>
      <c r="D180" s="102">
        <f t="shared" si="14"/>
        <v>2.0046775810222961E-3</v>
      </c>
      <c r="F180" s="346">
        <v>44514</v>
      </c>
      <c r="G180">
        <v>345.3</v>
      </c>
      <c r="H180" s="102">
        <f t="shared" si="15"/>
        <v>1.2936724456569682E-2</v>
      </c>
      <c r="J180" s="346">
        <v>44514</v>
      </c>
      <c r="K180">
        <v>343.11</v>
      </c>
      <c r="L180" s="102">
        <f t="shared" si="16"/>
        <v>1.8977191732002741E-2</v>
      </c>
      <c r="N180" s="346">
        <v>44514</v>
      </c>
      <c r="O180">
        <v>160.55000000000001</v>
      </c>
      <c r="P180" s="102">
        <f t="shared" si="17"/>
        <v>7.0404693646243022E-2</v>
      </c>
      <c r="R180" s="346">
        <v>44514</v>
      </c>
      <c r="S180">
        <v>116.05</v>
      </c>
      <c r="T180" s="102">
        <f t="shared" si="18"/>
        <v>-2.4462004034969675E-2</v>
      </c>
      <c r="V180" s="346">
        <v>44514</v>
      </c>
      <c r="W180">
        <v>183.83</v>
      </c>
      <c r="X180" s="102">
        <f t="shared" si="19"/>
        <v>4.2947917848632722E-2</v>
      </c>
      <c r="Z180" s="346">
        <v>44514</v>
      </c>
      <c r="AA180" s="348">
        <v>4698.5</v>
      </c>
      <c r="AB180" s="102">
        <f t="shared" si="20"/>
        <v>7.2890985100224626E-3</v>
      </c>
    </row>
    <row r="181" spans="2:28" x14ac:dyDescent="0.25">
      <c r="B181" s="346">
        <v>44507</v>
      </c>
      <c r="C181">
        <v>149.65</v>
      </c>
      <c r="D181" s="102">
        <f t="shared" si="14"/>
        <v>2.7472527472527375E-3</v>
      </c>
      <c r="F181" s="346">
        <v>44507</v>
      </c>
      <c r="G181">
        <v>340.89</v>
      </c>
      <c r="H181" s="102">
        <f t="shared" si="15"/>
        <v>-7.0354410342099438E-4</v>
      </c>
      <c r="J181" s="346">
        <v>44507</v>
      </c>
      <c r="K181">
        <v>336.72</v>
      </c>
      <c r="L181" s="102">
        <f t="shared" si="16"/>
        <v>1.963935011605189E-3</v>
      </c>
      <c r="N181" s="346">
        <v>44507</v>
      </c>
      <c r="O181">
        <v>149.99</v>
      </c>
      <c r="P181" s="102">
        <f t="shared" si="17"/>
        <v>-8.5272342675832835E-3</v>
      </c>
      <c r="R181" s="346">
        <v>44507</v>
      </c>
      <c r="S181">
        <v>118.96</v>
      </c>
      <c r="T181" s="102">
        <f t="shared" si="18"/>
        <v>-3.7618315670253311E-2</v>
      </c>
      <c r="V181" s="346">
        <v>44507</v>
      </c>
      <c r="W181">
        <v>176.26</v>
      </c>
      <c r="X181" s="102">
        <f t="shared" si="19"/>
        <v>1.7618641659562506E-3</v>
      </c>
      <c r="Z181" s="346">
        <v>44507</v>
      </c>
      <c r="AA181" s="348">
        <v>4664.5</v>
      </c>
      <c r="AB181" s="102">
        <f t="shared" si="20"/>
        <v>-2.4593669803251172E-3</v>
      </c>
    </row>
    <row r="182" spans="2:28" x14ac:dyDescent="0.25">
      <c r="B182" s="346">
        <v>44500</v>
      </c>
      <c r="C182">
        <v>149.24</v>
      </c>
      <c r="D182" s="102">
        <f t="shared" si="14"/>
        <v>6.5421191070345053E-3</v>
      </c>
      <c r="F182" s="346">
        <v>44500</v>
      </c>
      <c r="G182">
        <v>341.13</v>
      </c>
      <c r="H182" s="102">
        <f t="shared" si="15"/>
        <v>5.4269555273974701E-2</v>
      </c>
      <c r="J182" s="346">
        <v>44500</v>
      </c>
      <c r="K182">
        <v>336.06</v>
      </c>
      <c r="L182" s="102">
        <f t="shared" si="16"/>
        <v>1.3388818527229951E-2</v>
      </c>
      <c r="N182" s="346">
        <v>44500</v>
      </c>
      <c r="O182">
        <v>151.28</v>
      </c>
      <c r="P182" s="102">
        <f t="shared" si="17"/>
        <v>9.8798397863817389E-3</v>
      </c>
      <c r="R182" s="346">
        <v>44500</v>
      </c>
      <c r="S182">
        <v>123.61</v>
      </c>
      <c r="T182" s="102">
        <f t="shared" si="18"/>
        <v>3.447987279270226E-2</v>
      </c>
      <c r="V182" s="346">
        <v>44500</v>
      </c>
      <c r="W182">
        <v>175.95</v>
      </c>
      <c r="X182" s="102">
        <f t="shared" si="19"/>
        <v>4.3470525441821728E-2</v>
      </c>
      <c r="Z182" s="346">
        <v>44500</v>
      </c>
      <c r="AA182" s="348">
        <v>4676</v>
      </c>
      <c r="AB182" s="102">
        <f t="shared" si="20"/>
        <v>1.9902939091553495E-2</v>
      </c>
    </row>
    <row r="183" spans="2:28" x14ac:dyDescent="0.25">
      <c r="B183" s="346">
        <v>44493</v>
      </c>
      <c r="C183">
        <v>148.27000000000001</v>
      </c>
      <c r="D183" s="102">
        <f t="shared" si="14"/>
        <v>6.9537618120176115E-2</v>
      </c>
      <c r="F183" s="346">
        <v>44493</v>
      </c>
      <c r="G183">
        <v>323.57</v>
      </c>
      <c r="H183" s="102">
        <f t="shared" si="15"/>
        <v>-3.2038446135362886E-3</v>
      </c>
      <c r="J183" s="346">
        <v>44493</v>
      </c>
      <c r="K183">
        <v>331.62</v>
      </c>
      <c r="L183" s="102">
        <f t="shared" si="16"/>
        <v>7.2648466813300505E-2</v>
      </c>
      <c r="N183" s="346">
        <v>44493</v>
      </c>
      <c r="O183">
        <v>149.80000000000001</v>
      </c>
      <c r="P183" s="102">
        <f t="shared" si="17"/>
        <v>7.4651960454639177E-3</v>
      </c>
      <c r="R183" s="346">
        <v>44493</v>
      </c>
      <c r="S183">
        <v>119.49</v>
      </c>
      <c r="T183" s="102">
        <f t="shared" si="18"/>
        <v>-2.1776504297994381E-2</v>
      </c>
      <c r="V183" s="346">
        <v>44493</v>
      </c>
      <c r="W183">
        <v>168.62</v>
      </c>
      <c r="X183" s="102">
        <f t="shared" si="19"/>
        <v>1.103249790142713E-2</v>
      </c>
      <c r="Z183" s="346">
        <v>44493</v>
      </c>
      <c r="AA183" s="348">
        <v>4584.75</v>
      </c>
      <c r="AB183" s="102">
        <f t="shared" si="20"/>
        <v>1.3428381962864666E-2</v>
      </c>
    </row>
    <row r="184" spans="2:28" x14ac:dyDescent="0.25">
      <c r="B184" s="346">
        <v>44486</v>
      </c>
      <c r="C184">
        <v>138.63</v>
      </c>
      <c r="D184" s="102">
        <f t="shared" si="14"/>
        <v>-2.152738565782053E-2</v>
      </c>
      <c r="F184" s="346">
        <v>44486</v>
      </c>
      <c r="G184">
        <v>324.61</v>
      </c>
      <c r="H184" s="102">
        <f t="shared" si="15"/>
        <v>-4.6187954181542423E-4</v>
      </c>
      <c r="J184" s="346">
        <v>44486</v>
      </c>
      <c r="K184">
        <v>309.16000000000003</v>
      </c>
      <c r="L184" s="102">
        <f t="shared" si="16"/>
        <v>1.62716544492294E-2</v>
      </c>
      <c r="N184" s="346">
        <v>44486</v>
      </c>
      <c r="O184">
        <v>148.69</v>
      </c>
      <c r="P184" s="102">
        <f t="shared" si="17"/>
        <v>2.6581054957194095E-2</v>
      </c>
      <c r="R184" s="346">
        <v>44486</v>
      </c>
      <c r="S184">
        <v>122.15</v>
      </c>
      <c r="T184" s="102">
        <f t="shared" si="18"/>
        <v>-0.11568811988706285</v>
      </c>
      <c r="V184" s="346">
        <v>44486</v>
      </c>
      <c r="W184">
        <v>166.78</v>
      </c>
      <c r="X184" s="102">
        <f t="shared" si="19"/>
        <v>-2.1531240833088772E-2</v>
      </c>
      <c r="Z184" s="346">
        <v>44486</v>
      </c>
      <c r="AA184" s="348">
        <v>4524</v>
      </c>
      <c r="AB184" s="102">
        <f t="shared" si="20"/>
        <v>2.0470309592285574E-2</v>
      </c>
    </row>
    <row r="185" spans="2:28" x14ac:dyDescent="0.25">
      <c r="B185" s="346">
        <v>44479</v>
      </c>
      <c r="C185">
        <v>141.68</v>
      </c>
      <c r="D185" s="102">
        <f t="shared" si="14"/>
        <v>1.156647151220902E-2</v>
      </c>
      <c r="F185" s="346">
        <v>44479</v>
      </c>
      <c r="G185">
        <v>324.76</v>
      </c>
      <c r="H185" s="102">
        <f t="shared" si="15"/>
        <v>-1.6027874564459976E-2</v>
      </c>
      <c r="J185" s="346">
        <v>44479</v>
      </c>
      <c r="K185">
        <v>304.20999999999998</v>
      </c>
      <c r="L185" s="102">
        <f t="shared" si="16"/>
        <v>3.1744955061895785E-2</v>
      </c>
      <c r="N185" s="346">
        <v>44479</v>
      </c>
      <c r="O185">
        <v>144.84</v>
      </c>
      <c r="P185" s="102">
        <f t="shared" si="17"/>
        <v>1.3575927221833428E-2</v>
      </c>
      <c r="R185" s="346">
        <v>44479</v>
      </c>
      <c r="S185">
        <v>138.13</v>
      </c>
      <c r="T185" s="102">
        <f t="shared" si="18"/>
        <v>9.7222222222221877E-3</v>
      </c>
      <c r="V185" s="346">
        <v>44479</v>
      </c>
      <c r="W185">
        <v>170.45</v>
      </c>
      <c r="X185" s="102">
        <f t="shared" si="19"/>
        <v>3.661132396764577E-2</v>
      </c>
      <c r="Z185" s="346">
        <v>44479</v>
      </c>
      <c r="AA185" s="348">
        <v>4433.25</v>
      </c>
      <c r="AB185" s="102">
        <f t="shared" si="20"/>
        <v>2.2900323027226666E-2</v>
      </c>
    </row>
    <row r="186" spans="2:28" x14ac:dyDescent="0.25">
      <c r="B186" s="346">
        <v>44472</v>
      </c>
      <c r="C186">
        <v>140.06</v>
      </c>
      <c r="D186" s="102">
        <f t="shared" si="14"/>
        <v>2.6381357174263487E-2</v>
      </c>
      <c r="F186" s="346">
        <v>44472</v>
      </c>
      <c r="G186">
        <v>330.05</v>
      </c>
      <c r="H186" s="102">
        <f t="shared" si="15"/>
        <v>-3.7783155010057912E-2</v>
      </c>
      <c r="J186" s="346">
        <v>44472</v>
      </c>
      <c r="K186">
        <v>294.85000000000002</v>
      </c>
      <c r="L186" s="102">
        <f t="shared" si="16"/>
        <v>1.9889311656866138E-2</v>
      </c>
      <c r="N186" s="346">
        <v>44472</v>
      </c>
      <c r="O186">
        <v>142.9</v>
      </c>
      <c r="P186" s="102">
        <f t="shared" si="17"/>
        <v>1.752541184717904E-3</v>
      </c>
      <c r="R186" s="346">
        <v>44472</v>
      </c>
      <c r="S186">
        <v>136.80000000000001</v>
      </c>
      <c r="T186" s="102">
        <f t="shared" si="18"/>
        <v>-6.5746219592355271E-4</v>
      </c>
      <c r="V186" s="346">
        <v>44472</v>
      </c>
      <c r="W186">
        <v>164.43</v>
      </c>
      <c r="X186" s="102">
        <f t="shared" si="19"/>
        <v>1.6447368421053099E-3</v>
      </c>
      <c r="Z186" s="346">
        <v>44472</v>
      </c>
      <c r="AA186" s="348">
        <v>4334</v>
      </c>
      <c r="AB186" s="102">
        <f t="shared" si="20"/>
        <v>8.9041494500379237E-3</v>
      </c>
    </row>
    <row r="187" spans="2:28" x14ac:dyDescent="0.25">
      <c r="B187" s="346">
        <v>44465</v>
      </c>
      <c r="C187">
        <v>136.46</v>
      </c>
      <c r="D187" s="102">
        <f t="shared" si="14"/>
        <v>-4.3258781462525375E-2</v>
      </c>
      <c r="F187" s="346">
        <v>44465</v>
      </c>
      <c r="G187">
        <v>343.01</v>
      </c>
      <c r="H187" s="102">
        <f t="shared" si="15"/>
        <v>-2.8190163191296413E-2</v>
      </c>
      <c r="J187" s="346">
        <v>44465</v>
      </c>
      <c r="K187">
        <v>289.10000000000002</v>
      </c>
      <c r="L187" s="102">
        <f t="shared" si="16"/>
        <v>-3.4240855186236874E-2</v>
      </c>
      <c r="N187" s="346">
        <v>44465</v>
      </c>
      <c r="O187">
        <v>142.65</v>
      </c>
      <c r="P187" s="102">
        <f t="shared" si="17"/>
        <v>-2.9063435883473931E-2</v>
      </c>
      <c r="R187" s="346">
        <v>44465</v>
      </c>
      <c r="S187">
        <v>136.88999999999999</v>
      </c>
      <c r="T187" s="102">
        <f t="shared" si="18"/>
        <v>4.2336099901012503E-2</v>
      </c>
      <c r="V187" s="346">
        <v>44465</v>
      </c>
      <c r="W187">
        <v>164.16</v>
      </c>
      <c r="X187" s="102">
        <f t="shared" si="19"/>
        <v>-4.156936011209722E-2</v>
      </c>
      <c r="Z187" s="346">
        <v>44465</v>
      </c>
      <c r="AA187" s="348">
        <v>4295.75</v>
      </c>
      <c r="AB187" s="102">
        <f t="shared" si="20"/>
        <v>-2.2971513049411474E-2</v>
      </c>
    </row>
    <row r="188" spans="2:28" x14ac:dyDescent="0.25">
      <c r="B188" s="346">
        <v>44458</v>
      </c>
      <c r="C188">
        <v>142.63</v>
      </c>
      <c r="D188" s="102">
        <f t="shared" si="14"/>
        <v>8.270889297327777E-3</v>
      </c>
      <c r="F188" s="346">
        <v>44458</v>
      </c>
      <c r="G188">
        <v>352.96</v>
      </c>
      <c r="H188" s="102">
        <f t="shared" si="15"/>
        <v>-3.2243913138846336E-2</v>
      </c>
      <c r="J188" s="346">
        <v>44458</v>
      </c>
      <c r="K188">
        <v>299.35000000000002</v>
      </c>
      <c r="L188" s="102">
        <f t="shared" si="16"/>
        <v>-1.7340847700669793E-3</v>
      </c>
      <c r="N188" s="346">
        <v>44458</v>
      </c>
      <c r="O188">
        <v>146.91999999999999</v>
      </c>
      <c r="P188" s="102">
        <f t="shared" si="17"/>
        <v>5.8879912364779852E-3</v>
      </c>
      <c r="R188" s="346">
        <v>44458</v>
      </c>
      <c r="S188">
        <v>131.33000000000001</v>
      </c>
      <c r="T188" s="102">
        <f t="shared" si="18"/>
        <v>1.6722149105829809E-2</v>
      </c>
      <c r="V188" s="346">
        <v>44458</v>
      </c>
      <c r="W188">
        <v>171.28</v>
      </c>
      <c r="X188" s="102">
        <f t="shared" si="19"/>
        <v>-1.0685611967885422E-2</v>
      </c>
      <c r="Z188" s="346">
        <v>44458</v>
      </c>
      <c r="AA188" s="348">
        <v>4396.75</v>
      </c>
      <c r="AB188" s="102">
        <f t="shared" si="20"/>
        <v>7.2737686139747737E-3</v>
      </c>
    </row>
    <row r="189" spans="2:28" x14ac:dyDescent="0.25">
      <c r="B189" s="346">
        <v>44451</v>
      </c>
      <c r="C189">
        <v>141.46</v>
      </c>
      <c r="D189" s="102">
        <f t="shared" si="14"/>
        <v>-3.2412626832016844E-3</v>
      </c>
      <c r="F189" s="346">
        <v>44451</v>
      </c>
      <c r="G189">
        <v>364.72</v>
      </c>
      <c r="H189" s="102">
        <f t="shared" si="15"/>
        <v>-3.6890332461908093E-2</v>
      </c>
      <c r="J189" s="346">
        <v>44451</v>
      </c>
      <c r="K189">
        <v>299.87</v>
      </c>
      <c r="L189" s="102">
        <f t="shared" si="16"/>
        <v>1.4067836731933347E-2</v>
      </c>
      <c r="N189" s="346">
        <v>44451</v>
      </c>
      <c r="O189">
        <v>146.06</v>
      </c>
      <c r="P189" s="102">
        <f t="shared" si="17"/>
        <v>-1.9534134389474378E-2</v>
      </c>
      <c r="R189" s="346">
        <v>44451</v>
      </c>
      <c r="S189">
        <v>129.16999999999999</v>
      </c>
      <c r="T189" s="102">
        <f t="shared" si="18"/>
        <v>-1.3065403422982902E-2</v>
      </c>
      <c r="V189" s="346">
        <v>44451</v>
      </c>
      <c r="W189">
        <v>173.13</v>
      </c>
      <c r="X189" s="102">
        <f t="shared" si="19"/>
        <v>-1.9024558976133976E-3</v>
      </c>
      <c r="Z189" s="346">
        <v>44451</v>
      </c>
      <c r="AA189" s="348">
        <v>4365</v>
      </c>
      <c r="AB189" s="102">
        <f t="shared" si="20"/>
        <v>-5.2415679124886427E-3</v>
      </c>
    </row>
    <row r="190" spans="2:28" x14ac:dyDescent="0.25">
      <c r="B190" s="346">
        <v>44444</v>
      </c>
      <c r="C190">
        <v>141.91999999999999</v>
      </c>
      <c r="D190" s="102">
        <f t="shared" si="14"/>
        <v>-1.9686399115839026E-2</v>
      </c>
      <c r="F190" s="346">
        <v>44444</v>
      </c>
      <c r="G190">
        <v>378.69</v>
      </c>
      <c r="H190" s="102">
        <f t="shared" si="15"/>
        <v>6.4583001116249594E-3</v>
      </c>
      <c r="J190" s="346">
        <v>44444</v>
      </c>
      <c r="K190">
        <v>295.70999999999998</v>
      </c>
      <c r="L190" s="102">
        <f t="shared" si="16"/>
        <v>-1.8031480374576581E-2</v>
      </c>
      <c r="N190" s="346">
        <v>44444</v>
      </c>
      <c r="O190">
        <v>148.97</v>
      </c>
      <c r="P190" s="102">
        <f t="shared" si="17"/>
        <v>-3.4543097861309269E-2</v>
      </c>
      <c r="R190" s="346">
        <v>44444</v>
      </c>
      <c r="S190">
        <v>130.88</v>
      </c>
      <c r="T190" s="102">
        <f t="shared" si="18"/>
        <v>-1.8301830183018231E-2</v>
      </c>
      <c r="V190" s="346">
        <v>44444</v>
      </c>
      <c r="W190">
        <v>173.46</v>
      </c>
      <c r="X190" s="102">
        <f t="shared" si="19"/>
        <v>-2.5301897642322491E-3</v>
      </c>
      <c r="Z190" s="346">
        <v>44444</v>
      </c>
      <c r="AA190" s="348">
        <v>4388</v>
      </c>
      <c r="AB190" s="102">
        <f t="shared" si="20"/>
        <v>-1.697003640436856E-2</v>
      </c>
    </row>
    <row r="191" spans="2:28" x14ac:dyDescent="0.25">
      <c r="B191" s="346">
        <v>44437</v>
      </c>
      <c r="C191">
        <v>144.77000000000001</v>
      </c>
      <c r="D191" s="102">
        <f t="shared" si="14"/>
        <v>1.5219647180906293E-3</v>
      </c>
      <c r="F191" s="346">
        <v>44437</v>
      </c>
      <c r="G191">
        <v>376.26</v>
      </c>
      <c r="H191" s="102">
        <f t="shared" si="15"/>
        <v>9.7415667015539054E-3</v>
      </c>
      <c r="J191" s="346">
        <v>44437</v>
      </c>
      <c r="K191">
        <v>301.14</v>
      </c>
      <c r="L191" s="102">
        <f t="shared" si="16"/>
        <v>4.7377552382221744E-3</v>
      </c>
      <c r="N191" s="346">
        <v>44437</v>
      </c>
      <c r="O191">
        <v>154.30000000000001</v>
      </c>
      <c r="P191" s="102">
        <f t="shared" si="17"/>
        <v>3.8358008075370265E-2</v>
      </c>
      <c r="R191" s="346">
        <v>44437</v>
      </c>
      <c r="S191">
        <v>133.32</v>
      </c>
      <c r="T191" s="102">
        <f t="shared" si="18"/>
        <v>1.2015620306398134E-3</v>
      </c>
      <c r="V191" s="346">
        <v>44437</v>
      </c>
      <c r="W191">
        <v>173.9</v>
      </c>
      <c r="X191" s="102">
        <f t="shared" si="19"/>
        <v>3.8332935275853908E-2</v>
      </c>
      <c r="Z191" s="346">
        <v>44437</v>
      </c>
      <c r="AA191" s="348">
        <v>4463.75</v>
      </c>
      <c r="AB191" s="102">
        <f t="shared" si="20"/>
        <v>6.5960085691734172E-3</v>
      </c>
    </row>
    <row r="192" spans="2:28" x14ac:dyDescent="0.25">
      <c r="B192" s="346">
        <v>44430</v>
      </c>
      <c r="C192">
        <v>144.55000000000001</v>
      </c>
      <c r="D192" s="102">
        <f t="shared" si="14"/>
        <v>4.4134643166714893E-2</v>
      </c>
      <c r="F192" s="346">
        <v>44430</v>
      </c>
      <c r="G192">
        <v>372.63</v>
      </c>
      <c r="H192" s="102">
        <f t="shared" si="15"/>
        <v>3.689790466649967E-2</v>
      </c>
      <c r="J192" s="346">
        <v>44430</v>
      </c>
      <c r="K192">
        <v>299.72000000000003</v>
      </c>
      <c r="L192" s="102">
        <f t="shared" si="16"/>
        <v>-1.5245104481534932E-2</v>
      </c>
      <c r="N192" s="346">
        <v>44430</v>
      </c>
      <c r="O192">
        <v>148.6</v>
      </c>
      <c r="P192" s="102">
        <f t="shared" si="17"/>
        <v>2.766718402051449E-3</v>
      </c>
      <c r="R192" s="346">
        <v>44430</v>
      </c>
      <c r="S192">
        <v>133.16</v>
      </c>
      <c r="T192" s="102">
        <f t="shared" si="18"/>
        <v>2.1825844810716699E-3</v>
      </c>
      <c r="V192" s="346">
        <v>44430</v>
      </c>
      <c r="W192">
        <v>167.48</v>
      </c>
      <c r="X192" s="102">
        <f t="shared" si="19"/>
        <v>4.6749999999999847E-2</v>
      </c>
      <c r="Z192" s="346">
        <v>44430</v>
      </c>
      <c r="AA192" s="348">
        <v>4434.5</v>
      </c>
      <c r="AB192" s="102">
        <f t="shared" si="20"/>
        <v>1.5689418231791041E-2</v>
      </c>
    </row>
    <row r="193" spans="2:28" x14ac:dyDescent="0.25">
      <c r="B193" s="346">
        <v>44423</v>
      </c>
      <c r="C193">
        <v>138.44</v>
      </c>
      <c r="D193" s="102">
        <f t="shared" si="14"/>
        <v>2.1674734484511404E-4</v>
      </c>
      <c r="F193" s="346">
        <v>44423</v>
      </c>
      <c r="G193">
        <v>359.37</v>
      </c>
      <c r="H193" s="102">
        <f t="shared" si="15"/>
        <v>-1.0490665785560904E-2</v>
      </c>
      <c r="J193" s="346">
        <v>44423</v>
      </c>
      <c r="K193">
        <v>304.36</v>
      </c>
      <c r="L193" s="102">
        <f t="shared" si="16"/>
        <v>3.9303397643844828E-2</v>
      </c>
      <c r="N193" s="346">
        <v>44423</v>
      </c>
      <c r="O193">
        <v>148.19</v>
      </c>
      <c r="P193" s="102">
        <f t="shared" si="17"/>
        <v>-6.1032863849764807E-3</v>
      </c>
      <c r="R193" s="346">
        <v>44423</v>
      </c>
      <c r="S193">
        <v>132.87</v>
      </c>
      <c r="T193" s="102">
        <f t="shared" si="18"/>
        <v>-2.8443989470605335E-2</v>
      </c>
      <c r="V193" s="346">
        <v>44423</v>
      </c>
      <c r="W193">
        <v>160</v>
      </c>
      <c r="X193" s="102">
        <f t="shared" si="19"/>
        <v>-2.853673345476615E-2</v>
      </c>
      <c r="Z193" s="346">
        <v>44423</v>
      </c>
      <c r="AA193" s="348">
        <v>4366</v>
      </c>
      <c r="AB193" s="102">
        <f t="shared" si="20"/>
        <v>-5.6368501964356721E-3</v>
      </c>
    </row>
    <row r="194" spans="2:28" x14ac:dyDescent="0.25">
      <c r="B194" s="346">
        <v>44416</v>
      </c>
      <c r="C194">
        <v>138.41</v>
      </c>
      <c r="D194" s="102">
        <f t="shared" si="14"/>
        <v>9.9970811441913998E-3</v>
      </c>
      <c r="F194" s="346">
        <v>44416</v>
      </c>
      <c r="G194">
        <v>363.18</v>
      </c>
      <c r="H194" s="102">
        <f t="shared" si="15"/>
        <v>-9.0781546587437312E-4</v>
      </c>
      <c r="J194" s="346">
        <v>44416</v>
      </c>
      <c r="K194">
        <v>292.85000000000002</v>
      </c>
      <c r="L194" s="102">
        <f t="shared" si="16"/>
        <v>1.1711462723692501E-2</v>
      </c>
      <c r="N194" s="346">
        <v>44416</v>
      </c>
      <c r="O194">
        <v>149.1</v>
      </c>
      <c r="P194" s="102">
        <f t="shared" si="17"/>
        <v>2.0254550431093588E-2</v>
      </c>
      <c r="R194" s="346">
        <v>44416</v>
      </c>
      <c r="S194">
        <v>136.76</v>
      </c>
      <c r="T194" s="102">
        <f t="shared" si="18"/>
        <v>-6.3212962290198904E-3</v>
      </c>
      <c r="V194" s="346">
        <v>44416</v>
      </c>
      <c r="W194">
        <v>164.7</v>
      </c>
      <c r="X194" s="102">
        <f t="shared" si="19"/>
        <v>-1.5246636771300559E-2</v>
      </c>
      <c r="Z194" s="346">
        <v>44416</v>
      </c>
      <c r="AA194" s="348">
        <v>4390.75</v>
      </c>
      <c r="AB194" s="102">
        <f t="shared" si="20"/>
        <v>9.5999080248332369E-3</v>
      </c>
    </row>
    <row r="195" spans="2:28" x14ac:dyDescent="0.25">
      <c r="B195" s="346">
        <v>44409</v>
      </c>
      <c r="C195">
        <v>137.04</v>
      </c>
      <c r="D195" s="102">
        <f t="shared" si="14"/>
        <v>1.3459547404230054E-2</v>
      </c>
      <c r="F195" s="346">
        <v>44409</v>
      </c>
      <c r="G195">
        <v>363.51</v>
      </c>
      <c r="H195" s="102">
        <f t="shared" si="15"/>
        <v>2.0235756385068804E-2</v>
      </c>
      <c r="J195" s="346">
        <v>44409</v>
      </c>
      <c r="K195">
        <v>289.45999999999998</v>
      </c>
      <c r="L195" s="102">
        <f t="shared" si="16"/>
        <v>1.5969955424519844E-2</v>
      </c>
      <c r="N195" s="346">
        <v>44409</v>
      </c>
      <c r="O195">
        <v>146.13999999999999</v>
      </c>
      <c r="P195" s="102">
        <f t="shared" si="17"/>
        <v>1.9196489784722992E-3</v>
      </c>
      <c r="R195" s="346">
        <v>44409</v>
      </c>
      <c r="S195">
        <v>137.63</v>
      </c>
      <c r="T195" s="102">
        <f t="shared" si="18"/>
        <v>2.2207367795603172E-2</v>
      </c>
      <c r="V195" s="346">
        <v>44409</v>
      </c>
      <c r="W195">
        <v>167.25</v>
      </c>
      <c r="X195" s="102">
        <f t="shared" si="19"/>
        <v>5.2289938694554117E-3</v>
      </c>
      <c r="Z195" s="346">
        <v>44409</v>
      </c>
      <c r="AA195" s="348">
        <v>4349</v>
      </c>
      <c r="AB195" s="102">
        <f t="shared" si="20"/>
        <v>9.4585968780827034E-3</v>
      </c>
    </row>
    <row r="196" spans="2:28" x14ac:dyDescent="0.25">
      <c r="B196" s="346">
        <v>44402</v>
      </c>
      <c r="C196">
        <v>135.22</v>
      </c>
      <c r="D196" s="102">
        <f t="shared" si="14"/>
        <v>-1.8865186475112372E-2</v>
      </c>
      <c r="F196" s="346">
        <v>44402</v>
      </c>
      <c r="G196">
        <v>356.3</v>
      </c>
      <c r="H196" s="102">
        <f t="shared" si="15"/>
        <v>-3.6480164417642458E-2</v>
      </c>
      <c r="J196" s="346">
        <v>44402</v>
      </c>
      <c r="K196">
        <v>284.91000000000003</v>
      </c>
      <c r="L196" s="102">
        <f t="shared" si="16"/>
        <v>-1.6432492146235322E-2</v>
      </c>
      <c r="N196" s="346">
        <v>44402</v>
      </c>
      <c r="O196">
        <v>145.86000000000001</v>
      </c>
      <c r="P196" s="102">
        <f t="shared" si="17"/>
        <v>-1.8174474959612219E-2</v>
      </c>
      <c r="R196" s="346">
        <v>44402</v>
      </c>
      <c r="S196">
        <v>134.63999999999999</v>
      </c>
      <c r="T196" s="102">
        <f t="shared" si="18"/>
        <v>-2.6666666666668171E-3</v>
      </c>
      <c r="V196" s="346">
        <v>44402</v>
      </c>
      <c r="W196">
        <v>166.38</v>
      </c>
      <c r="X196" s="102">
        <f t="shared" si="19"/>
        <v>-8.9974293059126076E-2</v>
      </c>
      <c r="Z196" s="346">
        <v>44402</v>
      </c>
      <c r="AA196" s="348">
        <v>4308.25</v>
      </c>
      <c r="AB196" s="102">
        <f t="shared" si="20"/>
        <v>-3.4696119817266835E-3</v>
      </c>
    </row>
    <row r="197" spans="2:28" x14ac:dyDescent="0.25">
      <c r="B197" s="346">
        <v>44395</v>
      </c>
      <c r="C197">
        <v>137.82</v>
      </c>
      <c r="D197" s="102">
        <f t="shared" si="14"/>
        <v>4.5278725824800858E-2</v>
      </c>
      <c r="F197" s="346">
        <v>44395</v>
      </c>
      <c r="G197">
        <v>369.79</v>
      </c>
      <c r="H197" s="102">
        <f t="shared" si="15"/>
        <v>8.3919568530894662E-2</v>
      </c>
      <c r="J197" s="346">
        <v>44395</v>
      </c>
      <c r="K197">
        <v>289.67</v>
      </c>
      <c r="L197" s="102">
        <f t="shared" si="16"/>
        <v>3.1772039180765876E-2</v>
      </c>
      <c r="N197" s="346">
        <v>44395</v>
      </c>
      <c r="O197">
        <v>148.56</v>
      </c>
      <c r="P197" s="102">
        <f t="shared" si="17"/>
        <v>1.4823416900061614E-2</v>
      </c>
      <c r="R197" s="346">
        <v>44395</v>
      </c>
      <c r="S197">
        <v>135</v>
      </c>
      <c r="T197" s="102">
        <f t="shared" si="18"/>
        <v>1.7562372804703408E-2</v>
      </c>
      <c r="V197" s="346">
        <v>44395</v>
      </c>
      <c r="W197">
        <v>182.83</v>
      </c>
      <c r="X197" s="102">
        <f t="shared" si="19"/>
        <v>2.3225878665771305E-2</v>
      </c>
      <c r="Z197" s="346">
        <v>44395</v>
      </c>
      <c r="AA197" s="348">
        <v>4323.25</v>
      </c>
      <c r="AB197" s="102">
        <f t="shared" si="20"/>
        <v>1.915370108439407E-2</v>
      </c>
    </row>
    <row r="198" spans="2:28" x14ac:dyDescent="0.25">
      <c r="B198" s="346">
        <v>44388</v>
      </c>
      <c r="C198">
        <v>131.85</v>
      </c>
      <c r="D198" s="102">
        <f t="shared" si="14"/>
        <v>1.7596665894883179E-2</v>
      </c>
      <c r="F198" s="346">
        <v>44388</v>
      </c>
      <c r="G198">
        <v>341.16</v>
      </c>
      <c r="H198" s="102">
        <f t="shared" si="15"/>
        <v>-2.6425432338336829E-2</v>
      </c>
      <c r="J198" s="346">
        <v>44388</v>
      </c>
      <c r="K198">
        <v>280.75</v>
      </c>
      <c r="L198" s="102">
        <f t="shared" si="16"/>
        <v>1.0110095704108701E-2</v>
      </c>
      <c r="N198" s="346">
        <v>44388</v>
      </c>
      <c r="O198">
        <v>146.38999999999999</v>
      </c>
      <c r="P198" s="102">
        <f t="shared" si="17"/>
        <v>8.8208944938321654E-3</v>
      </c>
      <c r="R198" s="346">
        <v>44388</v>
      </c>
      <c r="S198">
        <v>132.66999999999999</v>
      </c>
      <c r="T198" s="102">
        <f t="shared" si="18"/>
        <v>-1.8495228231116378E-2</v>
      </c>
      <c r="V198" s="346">
        <v>44388</v>
      </c>
      <c r="W198">
        <v>178.68</v>
      </c>
      <c r="X198" s="102">
        <f t="shared" si="19"/>
        <v>-3.9199870946926896E-2</v>
      </c>
      <c r="Z198" s="346">
        <v>44388</v>
      </c>
      <c r="AA198" s="348">
        <v>4242</v>
      </c>
      <c r="AB198" s="102">
        <f t="shared" si="20"/>
        <v>-9.4570928196147097E-3</v>
      </c>
    </row>
    <row r="199" spans="2:28" x14ac:dyDescent="0.25">
      <c r="B199" s="346">
        <v>44381</v>
      </c>
      <c r="C199">
        <v>129.57</v>
      </c>
      <c r="D199" s="102">
        <f t="shared" si="14"/>
        <v>6.6034804226227095E-3</v>
      </c>
      <c r="F199" s="346">
        <v>44381</v>
      </c>
      <c r="G199">
        <v>350.42</v>
      </c>
      <c r="H199" s="102">
        <f t="shared" si="15"/>
        <v>-1.2066535100084486E-2</v>
      </c>
      <c r="J199" s="346">
        <v>44381</v>
      </c>
      <c r="K199">
        <v>277.94</v>
      </c>
      <c r="L199" s="102">
        <f t="shared" si="16"/>
        <v>1.0444804610121317E-3</v>
      </c>
      <c r="N199" s="346">
        <v>44381</v>
      </c>
      <c r="O199">
        <v>145.11000000000001</v>
      </c>
      <c r="P199" s="102">
        <f t="shared" si="17"/>
        <v>3.6796227493569589E-2</v>
      </c>
      <c r="R199" s="346">
        <v>44381</v>
      </c>
      <c r="S199">
        <v>135.16999999999999</v>
      </c>
      <c r="T199" s="102">
        <f t="shared" si="18"/>
        <v>1.0692388215941317E-2</v>
      </c>
      <c r="V199" s="346">
        <v>44381</v>
      </c>
      <c r="W199">
        <v>185.97</v>
      </c>
      <c r="X199" s="102">
        <f t="shared" si="19"/>
        <v>5.9356308743947483E-2</v>
      </c>
      <c r="Z199" s="346">
        <v>44381</v>
      </c>
      <c r="AA199" s="348">
        <v>4282.5</v>
      </c>
      <c r="AB199" s="102">
        <f t="shared" si="20"/>
        <v>1.1689070718878813E-3</v>
      </c>
    </row>
    <row r="200" spans="2:28" x14ac:dyDescent="0.25">
      <c r="B200" s="346">
        <v>44374</v>
      </c>
      <c r="C200">
        <v>128.72</v>
      </c>
      <c r="D200" s="102">
        <f t="shared" si="14"/>
        <v>1.354330708661422E-2</v>
      </c>
      <c r="F200" s="346">
        <v>44374</v>
      </c>
      <c r="G200">
        <v>354.7</v>
      </c>
      <c r="H200" s="102">
        <f t="shared" si="15"/>
        <v>3.9048539707648544E-2</v>
      </c>
      <c r="J200" s="346">
        <v>44374</v>
      </c>
      <c r="K200">
        <v>277.64999999999998</v>
      </c>
      <c r="L200" s="102">
        <f t="shared" si="16"/>
        <v>4.7656780620330519E-2</v>
      </c>
      <c r="N200" s="346">
        <v>44374</v>
      </c>
      <c r="O200">
        <v>139.96</v>
      </c>
      <c r="P200" s="102">
        <f t="shared" si="17"/>
        <v>5.146119750582212E-2</v>
      </c>
      <c r="R200" s="346">
        <v>44374</v>
      </c>
      <c r="S200">
        <v>133.74</v>
      </c>
      <c r="T200" s="102">
        <f t="shared" si="18"/>
        <v>-4.6485099101668204E-2</v>
      </c>
      <c r="V200" s="346">
        <v>44374</v>
      </c>
      <c r="W200">
        <v>175.55</v>
      </c>
      <c r="X200" s="102">
        <f t="shared" si="19"/>
        <v>3.2222026224495881E-2</v>
      </c>
      <c r="Z200" s="346">
        <v>44374</v>
      </c>
      <c r="AA200" s="348">
        <v>4277.5</v>
      </c>
      <c r="AB200" s="102">
        <f t="shared" si="20"/>
        <v>1.6757784644639839E-2</v>
      </c>
    </row>
    <row r="201" spans="2:28" x14ac:dyDescent="0.25">
      <c r="B201" s="346">
        <v>44367</v>
      </c>
      <c r="C201">
        <v>127</v>
      </c>
      <c r="D201" s="102">
        <f t="shared" si="14"/>
        <v>1.1388070398980599E-2</v>
      </c>
      <c r="F201" s="346">
        <v>44367</v>
      </c>
      <c r="G201">
        <v>341.37</v>
      </c>
      <c r="H201" s="102">
        <f t="shared" si="15"/>
        <v>3.5521446338651952E-2</v>
      </c>
      <c r="J201" s="346">
        <v>44367</v>
      </c>
      <c r="K201">
        <v>265.02</v>
      </c>
      <c r="L201" s="102">
        <f t="shared" si="16"/>
        <v>2.1547238176001127E-2</v>
      </c>
      <c r="N201" s="346">
        <v>44367</v>
      </c>
      <c r="O201">
        <v>133.11000000000001</v>
      </c>
      <c r="P201" s="102">
        <f t="shared" si="17"/>
        <v>2.0312739537022839E-2</v>
      </c>
      <c r="R201" s="346">
        <v>44367</v>
      </c>
      <c r="S201">
        <v>140.26</v>
      </c>
      <c r="T201" s="102">
        <f t="shared" si="18"/>
        <v>2.604242867593265E-2</v>
      </c>
      <c r="V201" s="346">
        <v>44367</v>
      </c>
      <c r="W201">
        <v>170.07</v>
      </c>
      <c r="X201" s="102">
        <f t="shared" si="19"/>
        <v>-2.4548322340120499E-2</v>
      </c>
      <c r="Z201" s="346">
        <v>44367</v>
      </c>
      <c r="AA201" s="348">
        <v>4207</v>
      </c>
      <c r="AB201" s="102">
        <f t="shared" si="20"/>
        <v>3.1949469552952747E-2</v>
      </c>
    </row>
    <row r="202" spans="2:28" x14ac:dyDescent="0.25">
      <c r="B202" s="346">
        <v>44360</v>
      </c>
      <c r="C202">
        <v>125.57</v>
      </c>
      <c r="D202" s="102">
        <f t="shared" si="14"/>
        <v>-1.0342084327765733E-3</v>
      </c>
      <c r="F202" s="346">
        <v>44360</v>
      </c>
      <c r="G202">
        <v>329.66</v>
      </c>
      <c r="H202" s="102">
        <f t="shared" si="15"/>
        <v>-4.8300428666303574E-3</v>
      </c>
      <c r="J202" s="346">
        <v>44360</v>
      </c>
      <c r="K202">
        <v>259.43</v>
      </c>
      <c r="L202" s="102">
        <f t="shared" si="16"/>
        <v>5.9715382527434357E-3</v>
      </c>
      <c r="N202" s="346">
        <v>44360</v>
      </c>
      <c r="O202">
        <v>130.46</v>
      </c>
      <c r="P202" s="102">
        <f t="shared" si="17"/>
        <v>2.4420887318413964E-2</v>
      </c>
      <c r="R202" s="346">
        <v>44360</v>
      </c>
      <c r="S202">
        <v>136.69999999999999</v>
      </c>
      <c r="T202" s="102">
        <f t="shared" si="18"/>
        <v>-5.3979238754325309E-2</v>
      </c>
      <c r="V202" s="346">
        <v>44360</v>
      </c>
      <c r="W202">
        <v>174.35</v>
      </c>
      <c r="X202" s="102">
        <f t="shared" si="19"/>
        <v>4.189076132425007E-2</v>
      </c>
      <c r="Z202" s="346">
        <v>44360</v>
      </c>
      <c r="AA202" s="348">
        <v>4076.75</v>
      </c>
      <c r="AB202" s="102">
        <f t="shared" si="20"/>
        <v>-1.8832731648616097E-2</v>
      </c>
    </row>
    <row r="203" spans="2:28" x14ac:dyDescent="0.25">
      <c r="B203" s="346">
        <v>44353</v>
      </c>
      <c r="C203">
        <v>125.7</v>
      </c>
      <c r="D203" s="102">
        <f t="shared" si="14"/>
        <v>2.5369116567419914E-2</v>
      </c>
      <c r="F203" s="346">
        <v>44353</v>
      </c>
      <c r="G203">
        <v>331.26</v>
      </c>
      <c r="H203" s="102">
        <f t="shared" si="15"/>
        <v>2.7546541546843439E-3</v>
      </c>
      <c r="J203" s="346">
        <v>44353</v>
      </c>
      <c r="K203">
        <v>257.89</v>
      </c>
      <c r="L203" s="102">
        <f t="shared" si="16"/>
        <v>2.831053869771516E-2</v>
      </c>
      <c r="N203" s="346">
        <v>44353</v>
      </c>
      <c r="O203">
        <v>127.35</v>
      </c>
      <c r="P203" s="102">
        <f t="shared" si="17"/>
        <v>1.159742632456906E-2</v>
      </c>
      <c r="R203" s="346">
        <v>44353</v>
      </c>
      <c r="S203">
        <v>144.5</v>
      </c>
      <c r="T203" s="102">
        <f t="shared" si="18"/>
        <v>2.6205525175768685E-2</v>
      </c>
      <c r="V203" s="346">
        <v>44353</v>
      </c>
      <c r="W203">
        <v>167.34</v>
      </c>
      <c r="X203" s="102">
        <f t="shared" si="19"/>
        <v>4.3852535712057827E-2</v>
      </c>
      <c r="Z203" s="346">
        <v>44353</v>
      </c>
      <c r="AA203" s="348">
        <v>4155</v>
      </c>
      <c r="AB203" s="102">
        <f t="shared" si="20"/>
        <v>1.5519980447268766E-2</v>
      </c>
    </row>
    <row r="204" spans="2:28" x14ac:dyDescent="0.25">
      <c r="B204" s="346">
        <v>44346</v>
      </c>
      <c r="C204">
        <v>122.59</v>
      </c>
      <c r="D204" s="102">
        <f t="shared" si="14"/>
        <v>1.6669431083098374E-2</v>
      </c>
      <c r="F204" s="346">
        <v>44346</v>
      </c>
      <c r="G204">
        <v>330.35</v>
      </c>
      <c r="H204" s="102">
        <f t="shared" si="15"/>
        <v>4.9280564597085075E-3</v>
      </c>
      <c r="J204" s="346">
        <v>44346</v>
      </c>
      <c r="K204">
        <v>250.79</v>
      </c>
      <c r="L204" s="102">
        <f t="shared" si="16"/>
        <v>4.4456904838192646E-3</v>
      </c>
      <c r="N204" s="346">
        <v>44346</v>
      </c>
      <c r="O204">
        <v>125.89</v>
      </c>
      <c r="P204" s="102">
        <f t="shared" si="17"/>
        <v>1.0272048792231869E-2</v>
      </c>
      <c r="R204" s="346">
        <v>44346</v>
      </c>
      <c r="S204">
        <v>140.81</v>
      </c>
      <c r="T204" s="102">
        <f t="shared" si="18"/>
        <v>2.556445739257085E-2</v>
      </c>
      <c r="V204" s="346">
        <v>44346</v>
      </c>
      <c r="W204">
        <v>160.31</v>
      </c>
      <c r="X204" s="102">
        <f t="shared" si="19"/>
        <v>-5.2125349053676606E-3</v>
      </c>
      <c r="Z204" s="346">
        <v>44346</v>
      </c>
      <c r="AA204" s="348">
        <v>4091.5</v>
      </c>
      <c r="AB204" s="102">
        <f t="shared" si="20"/>
        <v>-2.6412849494348634E-2</v>
      </c>
    </row>
    <row r="205" spans="2:28" x14ac:dyDescent="0.25">
      <c r="B205" s="346">
        <v>44339</v>
      </c>
      <c r="C205">
        <v>120.58</v>
      </c>
      <c r="D205" s="102">
        <f t="shared" si="14"/>
        <v>2.8400852878464722E-2</v>
      </c>
      <c r="F205" s="346">
        <v>44339</v>
      </c>
      <c r="G205">
        <v>328.73</v>
      </c>
      <c r="H205" s="102">
        <f t="shared" si="15"/>
        <v>3.9528191506182253E-2</v>
      </c>
      <c r="J205" s="346">
        <v>44339</v>
      </c>
      <c r="K205">
        <v>249.68</v>
      </c>
      <c r="L205" s="102">
        <f t="shared" si="16"/>
        <v>1.839539911082122E-2</v>
      </c>
      <c r="N205" s="346">
        <v>44339</v>
      </c>
      <c r="O205">
        <v>124.61</v>
      </c>
      <c r="P205" s="102">
        <f t="shared" si="17"/>
        <v>-6.5375109622898275E-3</v>
      </c>
      <c r="R205" s="346">
        <v>44339</v>
      </c>
      <c r="S205">
        <v>137.30000000000001</v>
      </c>
      <c r="T205" s="102">
        <f t="shared" si="18"/>
        <v>-6.8716094032549302E-3</v>
      </c>
      <c r="V205" s="346">
        <v>44339</v>
      </c>
      <c r="W205">
        <v>161.15</v>
      </c>
      <c r="X205" s="102">
        <f t="shared" si="19"/>
        <v>6.2441461130189335E-3</v>
      </c>
      <c r="Z205" s="346">
        <v>44339</v>
      </c>
      <c r="AA205" s="348">
        <v>4202.5</v>
      </c>
      <c r="AB205" s="102">
        <f t="shared" si="20"/>
        <v>1.2223761064611205E-2</v>
      </c>
    </row>
    <row r="206" spans="2:28" x14ac:dyDescent="0.25">
      <c r="B206" s="346">
        <v>44332</v>
      </c>
      <c r="C206">
        <v>117.25</v>
      </c>
      <c r="D206" s="102">
        <f t="shared" si="14"/>
        <v>1.2434159399015599E-2</v>
      </c>
      <c r="F206" s="346">
        <v>44332</v>
      </c>
      <c r="G206">
        <v>316.23</v>
      </c>
      <c r="H206" s="102">
        <f t="shared" si="15"/>
        <v>9.1789580300072338E-4</v>
      </c>
      <c r="J206" s="346">
        <v>44332</v>
      </c>
      <c r="K206">
        <v>245.17</v>
      </c>
      <c r="L206" s="102">
        <f t="shared" si="16"/>
        <v>-1.2008865605480645E-2</v>
      </c>
      <c r="N206" s="346">
        <v>44332</v>
      </c>
      <c r="O206">
        <v>125.43</v>
      </c>
      <c r="P206" s="102">
        <f t="shared" si="17"/>
        <v>-1.5849352687328344E-2</v>
      </c>
      <c r="R206" s="346">
        <v>44332</v>
      </c>
      <c r="S206">
        <v>138.25</v>
      </c>
      <c r="T206" s="102">
        <f t="shared" si="18"/>
        <v>4.3418481800427955E-4</v>
      </c>
      <c r="V206" s="346">
        <v>44332</v>
      </c>
      <c r="W206">
        <v>160.15</v>
      </c>
      <c r="X206" s="102">
        <f t="shared" si="19"/>
        <v>-6.2053986968663155E-3</v>
      </c>
      <c r="Z206" s="346">
        <v>44332</v>
      </c>
      <c r="AA206" s="348">
        <v>4151.75</v>
      </c>
      <c r="AB206" s="102">
        <f t="shared" si="20"/>
        <v>-4.1376828975773217E-3</v>
      </c>
    </row>
    <row r="207" spans="2:28" x14ac:dyDescent="0.25">
      <c r="B207" s="346">
        <v>44325</v>
      </c>
      <c r="C207">
        <v>115.81</v>
      </c>
      <c r="D207" s="102">
        <f t="shared" si="14"/>
        <v>-3.435337280080053E-2</v>
      </c>
      <c r="F207" s="346">
        <v>44325</v>
      </c>
      <c r="G207">
        <v>315.94</v>
      </c>
      <c r="H207" s="102">
        <f t="shared" si="15"/>
        <v>-9.8407922777986601E-3</v>
      </c>
      <c r="J207" s="346">
        <v>44325</v>
      </c>
      <c r="K207">
        <v>248.15</v>
      </c>
      <c r="L207" s="102">
        <f t="shared" si="16"/>
        <v>-1.7072011407747723E-2</v>
      </c>
      <c r="N207" s="346">
        <v>44325</v>
      </c>
      <c r="O207">
        <v>127.45</v>
      </c>
      <c r="P207" s="102">
        <f t="shared" si="17"/>
        <v>-2.1196528684432892E-2</v>
      </c>
      <c r="R207" s="346">
        <v>44325</v>
      </c>
      <c r="S207">
        <v>138.19</v>
      </c>
      <c r="T207" s="102">
        <f t="shared" si="18"/>
        <v>-5.3980135310205402E-3</v>
      </c>
      <c r="V207" s="346">
        <v>44325</v>
      </c>
      <c r="W207">
        <v>161.15</v>
      </c>
      <c r="X207" s="102">
        <f t="shared" si="19"/>
        <v>-2.0840928423866867E-2</v>
      </c>
      <c r="Z207" s="346">
        <v>44325</v>
      </c>
      <c r="AA207" s="348">
        <v>4169</v>
      </c>
      <c r="AB207" s="102">
        <f t="shared" si="20"/>
        <v>-1.3312821726525037E-2</v>
      </c>
    </row>
    <row r="208" spans="2:28" x14ac:dyDescent="0.25">
      <c r="B208" s="346">
        <v>44318</v>
      </c>
      <c r="C208">
        <v>119.93</v>
      </c>
      <c r="D208" s="102">
        <f t="shared" ref="D208:D271" si="21">C208/C209-1</f>
        <v>-4.8128785992863632E-3</v>
      </c>
      <c r="F208" s="346">
        <v>44318</v>
      </c>
      <c r="G208">
        <v>319.08</v>
      </c>
      <c r="H208" s="102">
        <f t="shared" ref="H208:H271" si="22">G208/G209-1</f>
        <v>-1.845699520118127E-2</v>
      </c>
      <c r="J208" s="346">
        <v>44318</v>
      </c>
      <c r="K208">
        <v>252.46</v>
      </c>
      <c r="L208" s="102">
        <f t="shared" ref="L208:L271" si="23">K208/K209-1</f>
        <v>1.1103180268061674E-3</v>
      </c>
      <c r="N208" s="346">
        <v>44318</v>
      </c>
      <c r="O208">
        <v>130.21</v>
      </c>
      <c r="P208" s="102">
        <f t="shared" ref="P208:P271" si="24">O208/O209-1</f>
        <v>-9.5085957705766111E-3</v>
      </c>
      <c r="R208" s="346">
        <v>44318</v>
      </c>
      <c r="S208">
        <v>138.94</v>
      </c>
      <c r="T208" s="102">
        <f t="shared" ref="T208:T271" si="25">S208/S209-1</f>
        <v>2.5236127508854622E-2</v>
      </c>
      <c r="V208" s="346">
        <v>44318</v>
      </c>
      <c r="W208">
        <v>164.58</v>
      </c>
      <c r="X208" s="102">
        <f t="shared" ref="X208:X271" si="26">W208/W209-1</f>
        <v>-5.0700813289496383E-2</v>
      </c>
      <c r="Z208" s="346">
        <v>44318</v>
      </c>
      <c r="AA208" s="348">
        <v>4225.25</v>
      </c>
      <c r="AB208" s="102">
        <f t="shared" ref="AB208:AB271" si="27">AA208/AA209-1</f>
        <v>1.215714456821182E-2</v>
      </c>
    </row>
    <row r="209" spans="2:28" x14ac:dyDescent="0.25">
      <c r="B209" s="346">
        <v>44311</v>
      </c>
      <c r="C209">
        <v>120.51</v>
      </c>
      <c r="D209" s="102">
        <f t="shared" si="21"/>
        <v>4.103317208016577E-2</v>
      </c>
      <c r="F209" s="346">
        <v>44311</v>
      </c>
      <c r="G209">
        <v>325.08</v>
      </c>
      <c r="H209" s="102">
        <f t="shared" si="22"/>
        <v>7.953375618503622E-2</v>
      </c>
      <c r="J209" s="346">
        <v>44311</v>
      </c>
      <c r="K209">
        <v>252.18</v>
      </c>
      <c r="L209" s="102">
        <f t="shared" si="23"/>
        <v>-3.4348075818494972E-2</v>
      </c>
      <c r="N209" s="346">
        <v>44311</v>
      </c>
      <c r="O209">
        <v>131.46</v>
      </c>
      <c r="P209" s="102">
        <f t="shared" si="24"/>
        <v>-2.1292435973793822E-2</v>
      </c>
      <c r="R209" s="346">
        <v>44311</v>
      </c>
      <c r="S209">
        <v>135.52000000000001</v>
      </c>
      <c r="T209" s="102">
        <f t="shared" si="25"/>
        <v>-3.8224051749483623E-3</v>
      </c>
      <c r="V209" s="346">
        <v>44311</v>
      </c>
      <c r="W209">
        <v>173.37</v>
      </c>
      <c r="X209" s="102">
        <f t="shared" si="26"/>
        <v>3.789511494252884E-2</v>
      </c>
      <c r="Z209" s="346">
        <v>44311</v>
      </c>
      <c r="AA209" s="348">
        <v>4174.5</v>
      </c>
      <c r="AB209" s="102">
        <f t="shared" si="27"/>
        <v>7.1916576770947316E-4</v>
      </c>
    </row>
    <row r="210" spans="2:28" x14ac:dyDescent="0.25">
      <c r="B210" s="346">
        <v>44304</v>
      </c>
      <c r="C210">
        <v>115.76</v>
      </c>
      <c r="D210" s="102">
        <f t="shared" si="21"/>
        <v>7.5724606145008977E-3</v>
      </c>
      <c r="F210" s="346">
        <v>44304</v>
      </c>
      <c r="G210">
        <v>301.13</v>
      </c>
      <c r="H210" s="102">
        <f t="shared" si="22"/>
        <v>-1.6493565876281924E-2</v>
      </c>
      <c r="J210" s="346">
        <v>44304</v>
      </c>
      <c r="K210">
        <v>261.14999999999998</v>
      </c>
      <c r="L210" s="102">
        <f t="shared" si="23"/>
        <v>1.572447648998887E-3</v>
      </c>
      <c r="N210" s="346">
        <v>44304</v>
      </c>
      <c r="O210">
        <v>134.32</v>
      </c>
      <c r="P210" s="102">
        <f t="shared" si="24"/>
        <v>1.1926058437685683E-3</v>
      </c>
      <c r="R210" s="346">
        <v>44304</v>
      </c>
      <c r="S210">
        <v>136.04</v>
      </c>
      <c r="T210" s="102">
        <f t="shared" si="25"/>
        <v>6.6144200626959249E-2</v>
      </c>
      <c r="V210" s="346">
        <v>44304</v>
      </c>
      <c r="W210">
        <v>167.04</v>
      </c>
      <c r="X210" s="102">
        <f t="shared" si="26"/>
        <v>-1.7238336176972457E-2</v>
      </c>
      <c r="Z210" s="346">
        <v>44304</v>
      </c>
      <c r="AA210" s="348">
        <v>4171.5</v>
      </c>
      <c r="AB210" s="102">
        <f t="shared" si="27"/>
        <v>-1.1373840167614446E-3</v>
      </c>
    </row>
    <row r="211" spans="2:28" x14ac:dyDescent="0.25">
      <c r="B211" s="346">
        <v>44297</v>
      </c>
      <c r="C211">
        <v>114.89</v>
      </c>
      <c r="D211" s="102">
        <f t="shared" si="21"/>
        <v>5.2498031323824357E-3</v>
      </c>
      <c r="F211" s="346">
        <v>44297</v>
      </c>
      <c r="G211">
        <v>306.18</v>
      </c>
      <c r="H211" s="102">
        <f t="shared" si="22"/>
        <v>-2.0098572617294974E-2</v>
      </c>
      <c r="J211" s="346">
        <v>44297</v>
      </c>
      <c r="K211">
        <v>260.74</v>
      </c>
      <c r="L211" s="102">
        <f t="shared" si="23"/>
        <v>1.9112761383623278E-2</v>
      </c>
      <c r="N211" s="346">
        <v>44297</v>
      </c>
      <c r="O211">
        <v>134.16</v>
      </c>
      <c r="P211" s="102">
        <f t="shared" si="24"/>
        <v>8.7976539589442737E-3</v>
      </c>
      <c r="R211" s="346">
        <v>44297</v>
      </c>
      <c r="S211">
        <v>127.6</v>
      </c>
      <c r="T211" s="102">
        <f t="shared" si="25"/>
        <v>-1.5735883986423893E-2</v>
      </c>
      <c r="V211" s="346">
        <v>44297</v>
      </c>
      <c r="W211">
        <v>169.97</v>
      </c>
      <c r="X211" s="102">
        <f t="shared" si="26"/>
        <v>8.0659510112091048E-3</v>
      </c>
      <c r="Z211" s="346">
        <v>44297</v>
      </c>
      <c r="AA211" s="348">
        <v>4176.25</v>
      </c>
      <c r="AB211" s="102">
        <f t="shared" si="27"/>
        <v>1.3775943682485803E-2</v>
      </c>
    </row>
    <row r="212" spans="2:28" x14ac:dyDescent="0.25">
      <c r="B212" s="346">
        <v>44290</v>
      </c>
      <c r="C212">
        <v>114.29</v>
      </c>
      <c r="D212" s="102">
        <f t="shared" si="21"/>
        <v>6.9230049583684172E-2</v>
      </c>
      <c r="F212" s="346">
        <v>44290</v>
      </c>
      <c r="G212">
        <v>312.45999999999998</v>
      </c>
      <c r="H212" s="102">
        <f t="shared" si="22"/>
        <v>4.620638853545822E-2</v>
      </c>
      <c r="J212" s="346">
        <v>44290</v>
      </c>
      <c r="K212">
        <v>255.85</v>
      </c>
      <c r="L212" s="102">
        <f t="shared" si="23"/>
        <v>5.5704559521353447E-2</v>
      </c>
      <c r="N212" s="346">
        <v>44290</v>
      </c>
      <c r="O212">
        <v>132.99</v>
      </c>
      <c r="P212" s="102">
        <f t="shared" si="24"/>
        <v>8.1219512195122023E-2</v>
      </c>
      <c r="R212" s="346">
        <v>44290</v>
      </c>
      <c r="S212">
        <v>129.63999999999999</v>
      </c>
      <c r="T212" s="102">
        <f t="shared" si="25"/>
        <v>1.8701870187018521E-2</v>
      </c>
      <c r="V212" s="346">
        <v>44290</v>
      </c>
      <c r="W212">
        <v>168.61</v>
      </c>
      <c r="X212" s="102">
        <f t="shared" si="26"/>
        <v>6.6814299272382138E-2</v>
      </c>
      <c r="Z212" s="346">
        <v>44290</v>
      </c>
      <c r="AA212" s="348">
        <v>4119.5</v>
      </c>
      <c r="AB212" s="102">
        <f t="shared" si="27"/>
        <v>2.7306733167082209E-2</v>
      </c>
    </row>
    <row r="213" spans="2:28" x14ac:dyDescent="0.25">
      <c r="B213" s="346">
        <v>44283</v>
      </c>
      <c r="C213">
        <v>106.89</v>
      </c>
      <c r="D213" s="102">
        <f t="shared" si="21"/>
        <v>5.020632737276487E-2</v>
      </c>
      <c r="F213" s="346">
        <v>44283</v>
      </c>
      <c r="G213">
        <v>298.66000000000003</v>
      </c>
      <c r="H213" s="102">
        <f t="shared" si="22"/>
        <v>5.5261112288884418E-2</v>
      </c>
      <c r="J213" s="346">
        <v>44283</v>
      </c>
      <c r="K213">
        <v>242.35</v>
      </c>
      <c r="L213" s="102">
        <f t="shared" si="23"/>
        <v>2.4822395128552222E-2</v>
      </c>
      <c r="N213" s="346">
        <v>44283</v>
      </c>
      <c r="O213">
        <v>123</v>
      </c>
      <c r="P213" s="102">
        <f t="shared" si="24"/>
        <v>1.4767758435772604E-2</v>
      </c>
      <c r="R213" s="346">
        <v>44283</v>
      </c>
      <c r="S213">
        <v>127.26</v>
      </c>
      <c r="T213" s="102">
        <f t="shared" si="25"/>
        <v>-2.3105857066093582E-2</v>
      </c>
      <c r="V213" s="346">
        <v>44283</v>
      </c>
      <c r="W213">
        <v>158.05000000000001</v>
      </c>
      <c r="X213" s="102">
        <f t="shared" si="26"/>
        <v>3.5714285714285809E-2</v>
      </c>
      <c r="Z213" s="346">
        <v>44283</v>
      </c>
      <c r="AA213" s="348">
        <v>4010</v>
      </c>
      <c r="AB213" s="102">
        <f t="shared" si="27"/>
        <v>1.1413077747651101E-2</v>
      </c>
    </row>
    <row r="214" spans="2:28" x14ac:dyDescent="0.25">
      <c r="B214" s="346">
        <v>44276</v>
      </c>
      <c r="C214">
        <v>101.78</v>
      </c>
      <c r="D214" s="102">
        <f t="shared" si="21"/>
        <v>-3.7196554424432371E-3</v>
      </c>
      <c r="F214" s="346">
        <v>44276</v>
      </c>
      <c r="G214">
        <v>283.02</v>
      </c>
      <c r="H214" s="102">
        <f t="shared" si="22"/>
        <v>-2.4439005894316024E-2</v>
      </c>
      <c r="J214" s="346">
        <v>44276</v>
      </c>
      <c r="K214">
        <v>236.48</v>
      </c>
      <c r="L214" s="102">
        <f t="shared" si="23"/>
        <v>2.6611677881484663E-2</v>
      </c>
      <c r="N214" s="346">
        <v>44276</v>
      </c>
      <c r="O214">
        <v>121.21</v>
      </c>
      <c r="P214" s="102">
        <f t="shared" si="24"/>
        <v>1.0167513959496555E-2</v>
      </c>
      <c r="R214" s="346">
        <v>44276</v>
      </c>
      <c r="S214">
        <v>130.27000000000001</v>
      </c>
      <c r="T214" s="102">
        <f t="shared" si="25"/>
        <v>5.8073424301494425E-2</v>
      </c>
      <c r="V214" s="346">
        <v>44276</v>
      </c>
      <c r="W214">
        <v>152.6</v>
      </c>
      <c r="X214" s="102">
        <f t="shared" si="26"/>
        <v>-7.4796747967480481E-3</v>
      </c>
      <c r="Z214" s="346">
        <v>44276</v>
      </c>
      <c r="AA214" s="348">
        <v>3964.75</v>
      </c>
      <c r="AB214" s="102">
        <f t="shared" si="27"/>
        <v>1.3323553015626377E-2</v>
      </c>
    </row>
    <row r="215" spans="2:28" x14ac:dyDescent="0.25">
      <c r="B215" s="346">
        <v>44269</v>
      </c>
      <c r="C215">
        <v>102.16</v>
      </c>
      <c r="D215" s="102">
        <f t="shared" si="21"/>
        <v>-9.1173617846750377E-3</v>
      </c>
      <c r="F215" s="346">
        <v>44269</v>
      </c>
      <c r="G215">
        <v>290.11</v>
      </c>
      <c r="H215" s="102">
        <f t="shared" si="22"/>
        <v>8.0886736214605293E-2</v>
      </c>
      <c r="J215" s="346">
        <v>44269</v>
      </c>
      <c r="K215">
        <v>230.35</v>
      </c>
      <c r="L215" s="102">
        <f t="shared" si="23"/>
        <v>-2.2905620360551437E-2</v>
      </c>
      <c r="N215" s="346">
        <v>44269</v>
      </c>
      <c r="O215">
        <v>119.99</v>
      </c>
      <c r="P215" s="102">
        <f t="shared" si="24"/>
        <v>-8.5929108485499617E-3</v>
      </c>
      <c r="R215" s="346">
        <v>44269</v>
      </c>
      <c r="S215">
        <v>123.12</v>
      </c>
      <c r="T215" s="102">
        <f t="shared" si="25"/>
        <v>1.0091065714988856E-2</v>
      </c>
      <c r="V215" s="346">
        <v>44269</v>
      </c>
      <c r="W215">
        <v>153.75</v>
      </c>
      <c r="X215" s="102">
        <f t="shared" si="26"/>
        <v>-4.6610992425714093E-3</v>
      </c>
      <c r="Z215" s="346">
        <v>44269</v>
      </c>
      <c r="AA215" s="348">
        <v>3912.62</v>
      </c>
      <c r="AB215" s="102">
        <f t="shared" si="27"/>
        <v>-7.516012429450214E-3</v>
      </c>
    </row>
    <row r="216" spans="2:28" x14ac:dyDescent="0.25">
      <c r="B216" s="346">
        <v>44262</v>
      </c>
      <c r="C216">
        <v>103.1</v>
      </c>
      <c r="D216" s="102">
        <f t="shared" si="21"/>
        <v>-2.2099971545101127E-2</v>
      </c>
      <c r="F216" s="346">
        <v>44262</v>
      </c>
      <c r="G216">
        <v>268.39999999999998</v>
      </c>
      <c r="H216" s="102">
        <f t="shared" si="22"/>
        <v>1.5589526260027187E-2</v>
      </c>
      <c r="J216" s="346">
        <v>44262</v>
      </c>
      <c r="K216">
        <v>235.75</v>
      </c>
      <c r="L216" s="102">
        <f t="shared" si="23"/>
        <v>1.7918825561312524E-2</v>
      </c>
      <c r="N216" s="346">
        <v>44262</v>
      </c>
      <c r="O216">
        <v>121.03</v>
      </c>
      <c r="P216" s="102">
        <f t="shared" si="24"/>
        <v>-3.2119914346895317E-3</v>
      </c>
      <c r="R216" s="346">
        <v>44262</v>
      </c>
      <c r="S216">
        <v>121.89</v>
      </c>
      <c r="T216" s="102">
        <f t="shared" si="25"/>
        <v>3.8953290146607644E-2</v>
      </c>
      <c r="V216" s="346">
        <v>44262</v>
      </c>
      <c r="W216">
        <v>154.47</v>
      </c>
      <c r="X216" s="102">
        <f t="shared" si="26"/>
        <v>2.9662711638448025E-2</v>
      </c>
      <c r="Z216" s="346">
        <v>44262</v>
      </c>
      <c r="AA216" s="348">
        <v>3942.25</v>
      </c>
      <c r="AB216" s="102">
        <f t="shared" si="27"/>
        <v>2.6895024746027563E-2</v>
      </c>
    </row>
    <row r="217" spans="2:28" x14ac:dyDescent="0.25">
      <c r="B217" s="346">
        <v>44255</v>
      </c>
      <c r="C217">
        <v>105.43</v>
      </c>
      <c r="D217" s="102">
        <f t="shared" si="21"/>
        <v>3.5251374705420391E-2</v>
      </c>
      <c r="F217" s="346">
        <v>44255</v>
      </c>
      <c r="G217">
        <v>264.27999999999997</v>
      </c>
      <c r="H217" s="102">
        <f t="shared" si="22"/>
        <v>2.585203012188475E-2</v>
      </c>
      <c r="J217" s="346">
        <v>44255</v>
      </c>
      <c r="K217">
        <v>231.6</v>
      </c>
      <c r="L217" s="102">
        <f t="shared" si="23"/>
        <v>-3.3565711334883064E-3</v>
      </c>
      <c r="N217" s="346">
        <v>44255</v>
      </c>
      <c r="O217">
        <v>121.42</v>
      </c>
      <c r="P217" s="102">
        <f t="shared" si="24"/>
        <v>1.3194788058716878E-3</v>
      </c>
      <c r="R217" s="346">
        <v>44255</v>
      </c>
      <c r="S217">
        <v>117.32</v>
      </c>
      <c r="T217" s="102">
        <f t="shared" si="25"/>
        <v>3.2746478873239449E-2</v>
      </c>
      <c r="V217" s="346">
        <v>44255</v>
      </c>
      <c r="W217">
        <v>150.02000000000001</v>
      </c>
      <c r="X217" s="102">
        <f t="shared" si="26"/>
        <v>-2.9938570966698941E-2</v>
      </c>
      <c r="Z217" s="346">
        <v>44255</v>
      </c>
      <c r="AA217" s="348">
        <v>3839</v>
      </c>
      <c r="AB217" s="102">
        <f t="shared" si="27"/>
        <v>7.8099363391743726E-3</v>
      </c>
    </row>
    <row r="218" spans="2:28" x14ac:dyDescent="0.25">
      <c r="B218" s="346">
        <v>44248</v>
      </c>
      <c r="C218">
        <v>101.84</v>
      </c>
      <c r="D218" s="102">
        <f t="shared" si="21"/>
        <v>-3.064915286502945E-2</v>
      </c>
      <c r="F218" s="346">
        <v>44248</v>
      </c>
      <c r="G218">
        <v>257.62</v>
      </c>
      <c r="H218" s="102">
        <f t="shared" si="22"/>
        <v>-1.5063465361676132E-2</v>
      </c>
      <c r="J218" s="346">
        <v>44248</v>
      </c>
      <c r="K218">
        <v>232.38</v>
      </c>
      <c r="L218" s="102">
        <f t="shared" si="23"/>
        <v>-3.5647590986429889E-2</v>
      </c>
      <c r="N218" s="346">
        <v>44248</v>
      </c>
      <c r="O218">
        <v>121.26</v>
      </c>
      <c r="P218" s="102">
        <f t="shared" si="24"/>
        <v>-6.6297066297066332E-2</v>
      </c>
      <c r="R218" s="346">
        <v>44248</v>
      </c>
      <c r="S218">
        <v>113.6</v>
      </c>
      <c r="T218" s="102">
        <f t="shared" si="25"/>
        <v>-4.399472063353338E-4</v>
      </c>
      <c r="V218" s="346">
        <v>44248</v>
      </c>
      <c r="W218">
        <v>154.65</v>
      </c>
      <c r="X218" s="102">
        <f t="shared" si="26"/>
        <v>-4.8249123022955254E-2</v>
      </c>
      <c r="Z218" s="346">
        <v>44248</v>
      </c>
      <c r="AA218" s="348">
        <v>3809.25</v>
      </c>
      <c r="AB218" s="102">
        <f t="shared" si="27"/>
        <v>-2.4019984627209889E-2</v>
      </c>
    </row>
    <row r="219" spans="2:28" x14ac:dyDescent="0.25">
      <c r="B219" s="346">
        <v>44241</v>
      </c>
      <c r="C219">
        <v>105.06</v>
      </c>
      <c r="D219" s="102">
        <f t="shared" si="21"/>
        <v>-1.4257199885941985E-3</v>
      </c>
      <c r="F219" s="346">
        <v>44241</v>
      </c>
      <c r="G219">
        <v>261.56</v>
      </c>
      <c r="H219" s="102">
        <f t="shared" si="22"/>
        <v>-3.3049907578558191E-2</v>
      </c>
      <c r="J219" s="346">
        <v>44241</v>
      </c>
      <c r="K219">
        <v>240.97</v>
      </c>
      <c r="L219" s="102">
        <f t="shared" si="23"/>
        <v>-1.6408833013592417E-2</v>
      </c>
      <c r="N219" s="346">
        <v>44241</v>
      </c>
      <c r="O219">
        <v>129.87</v>
      </c>
      <c r="P219" s="102">
        <f t="shared" si="24"/>
        <v>-4.0629386126911471E-2</v>
      </c>
      <c r="R219" s="346">
        <v>44241</v>
      </c>
      <c r="S219">
        <v>113.65</v>
      </c>
      <c r="T219" s="102">
        <f t="shared" si="25"/>
        <v>-1.4993933090656886E-2</v>
      </c>
      <c r="V219" s="346">
        <v>44241</v>
      </c>
      <c r="W219">
        <v>162.49</v>
      </c>
      <c r="X219" s="102">
        <f t="shared" si="26"/>
        <v>-8.5423149673560239E-3</v>
      </c>
      <c r="Z219" s="346">
        <v>44241</v>
      </c>
      <c r="AA219" s="348">
        <v>3903</v>
      </c>
      <c r="AB219" s="102">
        <f t="shared" si="27"/>
        <v>-7.122869498855211E-3</v>
      </c>
    </row>
    <row r="220" spans="2:28" x14ac:dyDescent="0.25">
      <c r="B220" s="346">
        <v>44234</v>
      </c>
      <c r="C220">
        <v>105.21</v>
      </c>
      <c r="D220" s="102">
        <f t="shared" si="21"/>
        <v>2.9551954242135192E-3</v>
      </c>
      <c r="F220" s="346">
        <v>44234</v>
      </c>
      <c r="G220">
        <v>270.5</v>
      </c>
      <c r="H220" s="102">
        <f t="shared" si="22"/>
        <v>8.951883625512691E-3</v>
      </c>
      <c r="J220" s="346">
        <v>44234</v>
      </c>
      <c r="K220">
        <v>244.99</v>
      </c>
      <c r="L220" s="102">
        <f t="shared" si="23"/>
        <v>1.1519405450041376E-2</v>
      </c>
      <c r="N220" s="346">
        <v>44234</v>
      </c>
      <c r="O220">
        <v>135.37</v>
      </c>
      <c r="P220" s="102">
        <f t="shared" si="24"/>
        <v>-1.0163790582041421E-2</v>
      </c>
      <c r="R220" s="346">
        <v>44234</v>
      </c>
      <c r="S220">
        <v>115.38</v>
      </c>
      <c r="T220" s="102">
        <f t="shared" si="25"/>
        <v>-8.1664231066792548E-3</v>
      </c>
      <c r="V220" s="346">
        <v>44234</v>
      </c>
      <c r="W220">
        <v>163.89</v>
      </c>
      <c r="X220" s="102">
        <f t="shared" si="26"/>
        <v>-2.2194379810274056E-2</v>
      </c>
      <c r="Z220" s="346">
        <v>44234</v>
      </c>
      <c r="AA220" s="348">
        <v>3931</v>
      </c>
      <c r="AB220" s="102">
        <f t="shared" si="27"/>
        <v>1.3079054184653049E-2</v>
      </c>
    </row>
    <row r="221" spans="2:28" x14ac:dyDescent="0.25">
      <c r="B221" s="346">
        <v>44227</v>
      </c>
      <c r="C221">
        <v>104.9</v>
      </c>
      <c r="D221" s="102">
        <f t="shared" si="21"/>
        <v>0.14282601590587207</v>
      </c>
      <c r="F221" s="346">
        <v>44227</v>
      </c>
      <c r="G221">
        <v>268.10000000000002</v>
      </c>
      <c r="H221" s="102">
        <f t="shared" si="22"/>
        <v>3.7819842836681827E-2</v>
      </c>
      <c r="J221" s="346">
        <v>44227</v>
      </c>
      <c r="K221">
        <v>242.2</v>
      </c>
      <c r="L221" s="102">
        <f t="shared" si="23"/>
        <v>4.4145542334885324E-2</v>
      </c>
      <c r="N221" s="346">
        <v>44227</v>
      </c>
      <c r="O221">
        <v>136.76</v>
      </c>
      <c r="P221" s="102">
        <f t="shared" si="24"/>
        <v>3.6374658987571751E-2</v>
      </c>
      <c r="R221" s="346">
        <v>44227</v>
      </c>
      <c r="S221">
        <v>116.33</v>
      </c>
      <c r="T221" s="102">
        <f t="shared" si="25"/>
        <v>2.2501538191087356E-2</v>
      </c>
      <c r="V221" s="346">
        <v>44227</v>
      </c>
      <c r="W221">
        <v>167.61</v>
      </c>
      <c r="X221" s="102">
        <f t="shared" si="26"/>
        <v>4.5536772503274925E-2</v>
      </c>
      <c r="Z221" s="346">
        <v>44227</v>
      </c>
      <c r="AA221" s="348">
        <v>3880.25</v>
      </c>
      <c r="AB221" s="102">
        <f t="shared" si="27"/>
        <v>4.7230281357533155E-2</v>
      </c>
    </row>
    <row r="222" spans="2:28" x14ac:dyDescent="0.25">
      <c r="B222" s="346">
        <v>44220</v>
      </c>
      <c r="C222">
        <v>91.79</v>
      </c>
      <c r="D222" s="102">
        <f t="shared" si="21"/>
        <v>-3.4297738032614267E-2</v>
      </c>
      <c r="F222" s="346">
        <v>44220</v>
      </c>
      <c r="G222">
        <v>258.33</v>
      </c>
      <c r="H222" s="102">
        <f t="shared" si="22"/>
        <v>-5.8907103825136642E-2</v>
      </c>
      <c r="J222" s="346">
        <v>44220</v>
      </c>
      <c r="K222">
        <v>231.96</v>
      </c>
      <c r="L222" s="102">
        <f t="shared" si="23"/>
        <v>2.6598805045364049E-2</v>
      </c>
      <c r="N222" s="346">
        <v>44220</v>
      </c>
      <c r="O222">
        <v>131.96</v>
      </c>
      <c r="P222" s="102">
        <f t="shared" si="24"/>
        <v>-5.1125332566333448E-2</v>
      </c>
      <c r="R222" s="346">
        <v>44220</v>
      </c>
      <c r="S222">
        <v>113.77</v>
      </c>
      <c r="T222" s="102">
        <f t="shared" si="25"/>
        <v>4.2369141142200029E-3</v>
      </c>
      <c r="V222" s="346">
        <v>44220</v>
      </c>
      <c r="W222">
        <v>160.31</v>
      </c>
      <c r="X222" s="102">
        <f t="shared" si="26"/>
        <v>-2.6122349796488753E-2</v>
      </c>
      <c r="Z222" s="346">
        <v>44220</v>
      </c>
      <c r="AA222" s="348">
        <v>3705.25</v>
      </c>
      <c r="AB222" s="102">
        <f t="shared" si="27"/>
        <v>-3.364412857794874E-2</v>
      </c>
    </row>
    <row r="223" spans="2:28" x14ac:dyDescent="0.25">
      <c r="B223" s="346">
        <v>44213</v>
      </c>
      <c r="C223">
        <v>95.05</v>
      </c>
      <c r="D223" s="102">
        <f t="shared" si="21"/>
        <v>9.4919940099066791E-2</v>
      </c>
      <c r="F223" s="346">
        <v>44213</v>
      </c>
      <c r="G223">
        <v>274.5</v>
      </c>
      <c r="H223" s="102">
        <f t="shared" si="22"/>
        <v>9.2059197963080708E-2</v>
      </c>
      <c r="J223" s="346">
        <v>44213</v>
      </c>
      <c r="K223">
        <v>225.95</v>
      </c>
      <c r="L223" s="102">
        <f t="shared" si="23"/>
        <v>6.254408652715715E-2</v>
      </c>
      <c r="N223" s="346">
        <v>44213</v>
      </c>
      <c r="O223">
        <v>139.07</v>
      </c>
      <c r="P223" s="102">
        <f t="shared" si="24"/>
        <v>9.3833569293692021E-2</v>
      </c>
      <c r="R223" s="346">
        <v>44213</v>
      </c>
      <c r="S223">
        <v>113.29</v>
      </c>
      <c r="T223" s="102">
        <f t="shared" si="25"/>
        <v>-7.6164070782027138E-2</v>
      </c>
      <c r="V223" s="346">
        <v>44213</v>
      </c>
      <c r="W223">
        <v>164.61</v>
      </c>
      <c r="X223" s="102">
        <f t="shared" si="26"/>
        <v>6.0563108047162029E-2</v>
      </c>
      <c r="Z223" s="346">
        <v>44213</v>
      </c>
      <c r="AA223" s="348">
        <v>3834.25</v>
      </c>
      <c r="AB223" s="102">
        <f t="shared" si="27"/>
        <v>1.9137484218220591E-2</v>
      </c>
    </row>
    <row r="224" spans="2:28" x14ac:dyDescent="0.25">
      <c r="B224" s="346">
        <v>44206</v>
      </c>
      <c r="C224">
        <v>86.81</v>
      </c>
      <c r="D224" s="102">
        <f t="shared" si="21"/>
        <v>-3.9287295263390809E-2</v>
      </c>
      <c r="F224" s="346">
        <v>44206</v>
      </c>
      <c r="G224">
        <v>251.36</v>
      </c>
      <c r="H224" s="102">
        <f t="shared" si="22"/>
        <v>-6.058227753485057E-2</v>
      </c>
      <c r="J224" s="346">
        <v>44206</v>
      </c>
      <c r="K224">
        <v>212.65</v>
      </c>
      <c r="L224" s="102">
        <f t="shared" si="23"/>
        <v>-3.1736636007649532E-2</v>
      </c>
      <c r="N224" s="346">
        <v>44206</v>
      </c>
      <c r="O224">
        <v>127.14</v>
      </c>
      <c r="P224" s="102">
        <f t="shared" si="24"/>
        <v>-3.7182885270730881E-2</v>
      </c>
      <c r="R224" s="346">
        <v>44206</v>
      </c>
      <c r="S224">
        <v>122.63</v>
      </c>
      <c r="T224" s="102">
        <f t="shared" si="25"/>
        <v>-1.1403437321820808E-3</v>
      </c>
      <c r="V224" s="346">
        <v>44206</v>
      </c>
      <c r="W224">
        <v>155.21</v>
      </c>
      <c r="X224" s="102">
        <f t="shared" si="26"/>
        <v>-2.4633947087287056E-2</v>
      </c>
      <c r="Z224" s="346">
        <v>44206</v>
      </c>
      <c r="AA224" s="348">
        <v>3762.25</v>
      </c>
      <c r="AB224" s="102">
        <f t="shared" si="27"/>
        <v>-1.447282252783233E-2</v>
      </c>
    </row>
    <row r="225" spans="2:28" x14ac:dyDescent="0.25">
      <c r="B225" s="346">
        <v>44199</v>
      </c>
      <c r="C225">
        <v>90.36</v>
      </c>
      <c r="D225" s="102">
        <f t="shared" si="21"/>
        <v>3.1624614682041363E-2</v>
      </c>
      <c r="F225" s="346">
        <v>44199</v>
      </c>
      <c r="G225">
        <v>267.57</v>
      </c>
      <c r="H225" s="102">
        <f t="shared" si="22"/>
        <v>-2.0464196807731816E-2</v>
      </c>
      <c r="J225" s="346">
        <v>44199</v>
      </c>
      <c r="K225">
        <v>219.62</v>
      </c>
      <c r="L225" s="102">
        <f t="shared" si="23"/>
        <v>-1.2588795971585243E-2</v>
      </c>
      <c r="N225" s="346">
        <v>44199</v>
      </c>
      <c r="O225">
        <v>132.05000000000001</v>
      </c>
      <c r="P225" s="102">
        <f t="shared" si="24"/>
        <v>-4.8232722887933122E-3</v>
      </c>
      <c r="R225" s="346">
        <v>44199</v>
      </c>
      <c r="S225">
        <v>122.77</v>
      </c>
      <c r="T225" s="102">
        <f t="shared" si="25"/>
        <v>2.1041250831669966E-2</v>
      </c>
      <c r="V225" s="346">
        <v>44199</v>
      </c>
      <c r="W225">
        <v>159.13</v>
      </c>
      <c r="X225" s="102">
        <f t="shared" si="26"/>
        <v>-2.2843107153822539E-2</v>
      </c>
      <c r="Z225" s="346">
        <v>44199</v>
      </c>
      <c r="AA225" s="348">
        <v>3817.5</v>
      </c>
      <c r="AB225" s="102">
        <f t="shared" si="27"/>
        <v>1.8339446482160682E-2</v>
      </c>
    </row>
    <row r="226" spans="2:28" x14ac:dyDescent="0.25">
      <c r="B226" s="346">
        <v>44192</v>
      </c>
      <c r="C226">
        <v>87.59</v>
      </c>
      <c r="D226" s="102">
        <f t="shared" si="21"/>
        <v>7.4764205198989409E-3</v>
      </c>
      <c r="F226" s="346">
        <v>44192</v>
      </c>
      <c r="G226">
        <v>273.16000000000003</v>
      </c>
      <c r="H226" s="102">
        <f t="shared" si="22"/>
        <v>2.1540762902019672E-2</v>
      </c>
      <c r="J226" s="346">
        <v>44192</v>
      </c>
      <c r="K226">
        <v>222.42</v>
      </c>
      <c r="L226" s="102">
        <f t="shared" si="23"/>
        <v>-1.481481481481528E-3</v>
      </c>
      <c r="N226" s="346">
        <v>44192</v>
      </c>
      <c r="O226">
        <v>132.69</v>
      </c>
      <c r="P226" s="102">
        <f t="shared" si="24"/>
        <v>5.4557854057739608E-3</v>
      </c>
      <c r="R226" s="346">
        <v>44192</v>
      </c>
      <c r="S226">
        <v>120.24</v>
      </c>
      <c r="T226" s="102">
        <f t="shared" si="25"/>
        <v>9.5717884130981368E-3</v>
      </c>
      <c r="V226" s="346">
        <v>44192</v>
      </c>
      <c r="W226">
        <v>162.85</v>
      </c>
      <c r="X226" s="102">
        <f t="shared" si="26"/>
        <v>2.660278635819191E-2</v>
      </c>
      <c r="Z226" s="346">
        <v>44192</v>
      </c>
      <c r="AA226" s="348">
        <v>3748.75</v>
      </c>
      <c r="AB226" s="102">
        <f t="shared" si="27"/>
        <v>1.4546684709066282E-2</v>
      </c>
    </row>
    <row r="227" spans="2:28" x14ac:dyDescent="0.25">
      <c r="B227" s="346">
        <v>44185</v>
      </c>
      <c r="C227">
        <v>86.94</v>
      </c>
      <c r="D227" s="102">
        <f t="shared" si="21"/>
        <v>4.5060658578857105E-3</v>
      </c>
      <c r="F227" s="346">
        <v>44185</v>
      </c>
      <c r="G227">
        <v>267.39999999999998</v>
      </c>
      <c r="H227" s="102">
        <f t="shared" si="22"/>
        <v>-3.2561505065123009E-2</v>
      </c>
      <c r="J227" s="346">
        <v>44185</v>
      </c>
      <c r="K227">
        <v>222.75</v>
      </c>
      <c r="L227" s="102">
        <f t="shared" si="23"/>
        <v>1.9031062720161085E-2</v>
      </c>
      <c r="N227" s="346">
        <v>44185</v>
      </c>
      <c r="O227">
        <v>131.97</v>
      </c>
      <c r="P227" s="102">
        <f t="shared" si="24"/>
        <v>4.2005527043031954E-2</v>
      </c>
      <c r="R227" s="346">
        <v>44185</v>
      </c>
      <c r="S227">
        <v>119.1</v>
      </c>
      <c r="T227" s="102">
        <f t="shared" si="25"/>
        <v>-9.2338407786374255E-3</v>
      </c>
      <c r="V227" s="346">
        <v>44185</v>
      </c>
      <c r="W227">
        <v>158.63</v>
      </c>
      <c r="X227" s="102">
        <f t="shared" si="26"/>
        <v>-9.0579710144929049E-3</v>
      </c>
      <c r="Z227" s="346">
        <v>44185</v>
      </c>
      <c r="AA227" s="348">
        <v>3695</v>
      </c>
      <c r="AB227" s="102">
        <f t="shared" si="27"/>
        <v>-8.3864475008386119E-3</v>
      </c>
    </row>
    <row r="228" spans="2:28" x14ac:dyDescent="0.25">
      <c r="B228" s="346">
        <v>44178</v>
      </c>
      <c r="C228">
        <v>86.55</v>
      </c>
      <c r="D228" s="102">
        <f t="shared" si="21"/>
        <v>-2.8510495005051095E-2</v>
      </c>
      <c r="F228" s="346">
        <v>44178</v>
      </c>
      <c r="G228">
        <v>276.39999999999998</v>
      </c>
      <c r="H228" s="102">
        <f t="shared" si="22"/>
        <v>1.0418570645220226E-2</v>
      </c>
      <c r="J228" s="346">
        <v>44178</v>
      </c>
      <c r="K228">
        <v>218.59</v>
      </c>
      <c r="L228" s="102">
        <f t="shared" si="23"/>
        <v>2.4992966332176847E-2</v>
      </c>
      <c r="N228" s="346">
        <v>44178</v>
      </c>
      <c r="O228">
        <v>126.65</v>
      </c>
      <c r="P228" s="102">
        <f t="shared" si="24"/>
        <v>3.4637692998938041E-2</v>
      </c>
      <c r="R228" s="346">
        <v>44178</v>
      </c>
      <c r="S228">
        <v>120.21</v>
      </c>
      <c r="T228" s="102">
        <f t="shared" si="25"/>
        <v>1.2721145745576923E-2</v>
      </c>
      <c r="V228" s="346">
        <v>44178</v>
      </c>
      <c r="W228">
        <v>160.08000000000001</v>
      </c>
      <c r="X228" s="102">
        <f t="shared" si="26"/>
        <v>2.7339237581825326E-2</v>
      </c>
      <c r="Z228" s="346">
        <v>44178</v>
      </c>
      <c r="AA228" s="348">
        <v>3726.25</v>
      </c>
      <c r="AB228" s="102">
        <f t="shared" si="27"/>
        <v>1.7753499487879854E-2</v>
      </c>
    </row>
    <row r="229" spans="2:28" x14ac:dyDescent="0.25">
      <c r="B229" s="346">
        <v>44171</v>
      </c>
      <c r="C229">
        <v>89.09</v>
      </c>
      <c r="D229" s="102">
        <f t="shared" si="21"/>
        <v>-2.5273522975929996E-2</v>
      </c>
      <c r="F229" s="346">
        <v>44171</v>
      </c>
      <c r="G229">
        <v>273.55</v>
      </c>
      <c r="H229" s="102">
        <f t="shared" si="22"/>
        <v>-2.1987844118698474E-2</v>
      </c>
      <c r="J229" s="346">
        <v>44171</v>
      </c>
      <c r="K229">
        <v>213.26</v>
      </c>
      <c r="L229" s="102">
        <f t="shared" si="23"/>
        <v>-5.1315543944766562E-3</v>
      </c>
      <c r="N229" s="346">
        <v>44171</v>
      </c>
      <c r="O229">
        <v>122.41</v>
      </c>
      <c r="P229" s="102">
        <f t="shared" si="24"/>
        <v>1.3087934560327419E-3</v>
      </c>
      <c r="R229" s="346">
        <v>44171</v>
      </c>
      <c r="S229">
        <v>118.7</v>
      </c>
      <c r="T229" s="102">
        <f t="shared" si="25"/>
        <v>-2.3045267489711918E-2</v>
      </c>
      <c r="V229" s="346">
        <v>44171</v>
      </c>
      <c r="W229">
        <v>155.82</v>
      </c>
      <c r="X229" s="102">
        <f t="shared" si="26"/>
        <v>-1.4608233731739695E-2</v>
      </c>
      <c r="Z229" s="346">
        <v>44171</v>
      </c>
      <c r="AA229" s="348">
        <v>3661.25</v>
      </c>
      <c r="AB229" s="102">
        <f t="shared" si="27"/>
        <v>-9.9378042184964377E-3</v>
      </c>
    </row>
    <row r="230" spans="2:28" x14ac:dyDescent="0.25">
      <c r="B230" s="346">
        <v>44164</v>
      </c>
      <c r="C230">
        <v>91.4</v>
      </c>
      <c r="D230" s="102">
        <f t="shared" si="21"/>
        <v>1.9406647334374361E-2</v>
      </c>
      <c r="F230" s="346">
        <v>44164</v>
      </c>
      <c r="G230">
        <v>279.7</v>
      </c>
      <c r="H230" s="102">
        <f t="shared" si="22"/>
        <v>6.8032108275439818E-3</v>
      </c>
      <c r="J230" s="346">
        <v>44164</v>
      </c>
      <c r="K230">
        <v>214.36</v>
      </c>
      <c r="L230" s="102">
        <f t="shared" si="23"/>
        <v>-4.0421874274031433E-3</v>
      </c>
      <c r="N230" s="346">
        <v>44164</v>
      </c>
      <c r="O230">
        <v>122.25</v>
      </c>
      <c r="P230" s="102">
        <f t="shared" si="24"/>
        <v>4.8546187494639348E-2</v>
      </c>
      <c r="R230" s="346">
        <v>44164</v>
      </c>
      <c r="S230">
        <v>121.5</v>
      </c>
      <c r="T230" s="102">
        <f t="shared" si="25"/>
        <v>2.2985602424854701E-2</v>
      </c>
      <c r="V230" s="346">
        <v>44164</v>
      </c>
      <c r="W230">
        <v>158.13</v>
      </c>
      <c r="X230" s="102">
        <f t="shared" si="26"/>
        <v>-1.0264755586155139E-2</v>
      </c>
      <c r="Z230" s="346">
        <v>44164</v>
      </c>
      <c r="AA230" s="348">
        <v>3698</v>
      </c>
      <c r="AB230" s="102">
        <f t="shared" si="27"/>
        <v>1.6911865805032233E-2</v>
      </c>
    </row>
    <row r="231" spans="2:28" x14ac:dyDescent="0.25">
      <c r="B231" s="346">
        <v>44157</v>
      </c>
      <c r="C231">
        <v>89.66</v>
      </c>
      <c r="D231" s="102">
        <f t="shared" si="21"/>
        <v>2.9273332568017452E-2</v>
      </c>
      <c r="F231" s="346">
        <v>44157</v>
      </c>
      <c r="G231">
        <v>277.81</v>
      </c>
      <c r="H231" s="102">
        <f t="shared" si="22"/>
        <v>3.0070448646644543E-2</v>
      </c>
      <c r="J231" s="346">
        <v>44157</v>
      </c>
      <c r="K231">
        <v>215.23</v>
      </c>
      <c r="L231" s="102">
        <f t="shared" si="23"/>
        <v>2.3004895669946235E-2</v>
      </c>
      <c r="N231" s="346">
        <v>44157</v>
      </c>
      <c r="O231">
        <v>116.59</v>
      </c>
      <c r="P231" s="102">
        <f t="shared" si="24"/>
        <v>-6.3916822907789106E-3</v>
      </c>
      <c r="R231" s="346">
        <v>44157</v>
      </c>
      <c r="S231">
        <v>118.77</v>
      </c>
      <c r="T231" s="102">
        <f t="shared" si="25"/>
        <v>6.3294538943598821E-2</v>
      </c>
      <c r="V231" s="346">
        <v>44157</v>
      </c>
      <c r="W231">
        <v>159.77000000000001</v>
      </c>
      <c r="X231" s="102">
        <f t="shared" si="26"/>
        <v>3.0973736852293987E-2</v>
      </c>
      <c r="Z231" s="346">
        <v>44157</v>
      </c>
      <c r="AA231" s="348">
        <v>3636.5</v>
      </c>
      <c r="AB231" s="102">
        <f t="shared" si="27"/>
        <v>2.3141309699655332E-2</v>
      </c>
    </row>
    <row r="232" spans="2:28" x14ac:dyDescent="0.25">
      <c r="B232" s="346">
        <v>44150</v>
      </c>
      <c r="C232">
        <v>87.11</v>
      </c>
      <c r="D232" s="102">
        <f t="shared" si="21"/>
        <v>-1.9583567810917191E-2</v>
      </c>
      <c r="F232" s="346">
        <v>44150</v>
      </c>
      <c r="G232">
        <v>269.7</v>
      </c>
      <c r="H232" s="102">
        <f t="shared" si="22"/>
        <v>-2.6178010471204161E-2</v>
      </c>
      <c r="J232" s="346">
        <v>44150</v>
      </c>
      <c r="K232">
        <v>210.39</v>
      </c>
      <c r="L232" s="102">
        <f t="shared" si="23"/>
        <v>-2.8266592767077769E-2</v>
      </c>
      <c r="N232" s="346">
        <v>44150</v>
      </c>
      <c r="O232">
        <v>117.34</v>
      </c>
      <c r="P232" s="102">
        <f t="shared" si="24"/>
        <v>-1.6099278886466561E-2</v>
      </c>
      <c r="R232" s="346">
        <v>44150</v>
      </c>
      <c r="S232">
        <v>111.7</v>
      </c>
      <c r="T232" s="102">
        <f t="shared" si="25"/>
        <v>8.0637935668859129E-4</v>
      </c>
      <c r="V232" s="346">
        <v>44150</v>
      </c>
      <c r="W232">
        <v>154.97</v>
      </c>
      <c r="X232" s="102">
        <f t="shared" si="26"/>
        <v>-9.3965737663002091E-3</v>
      </c>
      <c r="Z232" s="346">
        <v>44150</v>
      </c>
      <c r="AA232" s="348">
        <v>3554.25</v>
      </c>
      <c r="AB232" s="102">
        <f t="shared" si="27"/>
        <v>-7.7470686767169283E-3</v>
      </c>
    </row>
    <row r="233" spans="2:28" x14ac:dyDescent="0.25">
      <c r="B233" s="346">
        <v>44143</v>
      </c>
      <c r="C233">
        <v>88.85</v>
      </c>
      <c r="D233" s="102">
        <f t="shared" si="21"/>
        <v>8.6275400158928317E-3</v>
      </c>
      <c r="F233" s="346">
        <v>44143</v>
      </c>
      <c r="G233">
        <v>276.95</v>
      </c>
      <c r="H233" s="102">
        <f t="shared" si="22"/>
        <v>-5.6098974131761126E-2</v>
      </c>
      <c r="J233" s="346">
        <v>44143</v>
      </c>
      <c r="K233">
        <v>216.51</v>
      </c>
      <c r="L233" s="102">
        <f t="shared" si="23"/>
        <v>-3.22277847309137E-2</v>
      </c>
      <c r="N233" s="346">
        <v>44143</v>
      </c>
      <c r="O233">
        <v>119.26</v>
      </c>
      <c r="P233" s="102">
        <f t="shared" si="24"/>
        <v>4.8024264891735058E-3</v>
      </c>
      <c r="R233" s="346">
        <v>44143</v>
      </c>
      <c r="S233">
        <v>111.61</v>
      </c>
      <c r="T233" s="102">
        <f t="shared" si="25"/>
        <v>2.4602956026806178E-2</v>
      </c>
      <c r="V233" s="346">
        <v>44143</v>
      </c>
      <c r="W233">
        <v>156.44</v>
      </c>
      <c r="X233" s="102">
        <f t="shared" si="26"/>
        <v>-5.5142839886452855E-2</v>
      </c>
      <c r="Z233" s="346">
        <v>44143</v>
      </c>
      <c r="AA233" s="348">
        <v>3582</v>
      </c>
      <c r="AB233" s="102">
        <f t="shared" si="27"/>
        <v>2.3209312290223494E-2</v>
      </c>
    </row>
    <row r="234" spans="2:28" x14ac:dyDescent="0.25">
      <c r="B234" s="346">
        <v>44136</v>
      </c>
      <c r="C234">
        <v>88.09</v>
      </c>
      <c r="D234" s="102">
        <f t="shared" si="21"/>
        <v>8.6859962985811334E-2</v>
      </c>
      <c r="F234" s="346">
        <v>44136</v>
      </c>
      <c r="G234">
        <v>293.41000000000003</v>
      </c>
      <c r="H234" s="102">
        <f t="shared" si="22"/>
        <v>0.11516095929459169</v>
      </c>
      <c r="J234" s="346">
        <v>44136</v>
      </c>
      <c r="K234">
        <v>223.72</v>
      </c>
      <c r="L234" s="102">
        <f t="shared" si="23"/>
        <v>0.10495382031905964</v>
      </c>
      <c r="N234" s="346">
        <v>44136</v>
      </c>
      <c r="O234">
        <v>118.69</v>
      </c>
      <c r="P234" s="102">
        <f t="shared" si="24"/>
        <v>9.0299467205585238E-2</v>
      </c>
      <c r="R234" s="346">
        <v>44136</v>
      </c>
      <c r="S234">
        <v>108.93</v>
      </c>
      <c r="T234" s="102">
        <f t="shared" si="25"/>
        <v>2.1378340365682202E-2</v>
      </c>
      <c r="V234" s="346">
        <v>44136</v>
      </c>
      <c r="W234">
        <v>165.57</v>
      </c>
      <c r="X234" s="102">
        <f t="shared" si="26"/>
        <v>9.0639615308609311E-2</v>
      </c>
      <c r="Z234" s="346">
        <v>44136</v>
      </c>
      <c r="AA234" s="348">
        <v>3500.75</v>
      </c>
      <c r="AB234" s="102">
        <f t="shared" si="27"/>
        <v>7.2287311432728485E-2</v>
      </c>
    </row>
    <row r="235" spans="2:28" x14ac:dyDescent="0.25">
      <c r="B235" s="346">
        <v>44129</v>
      </c>
      <c r="C235">
        <v>81.05</v>
      </c>
      <c r="D235" s="102">
        <f t="shared" si="21"/>
        <v>-1.218769043266299E-2</v>
      </c>
      <c r="F235" s="346">
        <v>44129</v>
      </c>
      <c r="G235">
        <v>263.11</v>
      </c>
      <c r="H235" s="102">
        <f t="shared" si="22"/>
        <v>-7.6126268478528103E-2</v>
      </c>
      <c r="J235" s="346">
        <v>44129</v>
      </c>
      <c r="K235">
        <v>202.47</v>
      </c>
      <c r="L235" s="102">
        <f t="shared" si="23"/>
        <v>-6.3635943208620427E-2</v>
      </c>
      <c r="N235" s="346">
        <v>44129</v>
      </c>
      <c r="O235">
        <v>108.86</v>
      </c>
      <c r="P235" s="102">
        <f t="shared" si="24"/>
        <v>-5.3720445062586997E-2</v>
      </c>
      <c r="R235" s="346">
        <v>44129</v>
      </c>
      <c r="S235">
        <v>106.65</v>
      </c>
      <c r="T235" s="102">
        <f t="shared" si="25"/>
        <v>-3.7454873646209363E-2</v>
      </c>
      <c r="V235" s="346">
        <v>44129</v>
      </c>
      <c r="W235">
        <v>151.81</v>
      </c>
      <c r="X235" s="102">
        <f t="shared" si="26"/>
        <v>-5.2490325802022175E-2</v>
      </c>
      <c r="Z235" s="346">
        <v>44129</v>
      </c>
      <c r="AA235" s="348">
        <v>3264.75</v>
      </c>
      <c r="AB235" s="102">
        <f t="shared" si="27"/>
        <v>-5.4175418266096953E-2</v>
      </c>
    </row>
    <row r="236" spans="2:28" x14ac:dyDescent="0.25">
      <c r="B236" s="346">
        <v>44122</v>
      </c>
      <c r="C236">
        <v>82.05</v>
      </c>
      <c r="D236" s="102">
        <f t="shared" si="21"/>
        <v>4.3229497774952108E-2</v>
      </c>
      <c r="F236" s="346">
        <v>44122</v>
      </c>
      <c r="G236">
        <v>284.79000000000002</v>
      </c>
      <c r="H236" s="102">
        <f t="shared" si="22"/>
        <v>7.0920919038844898E-2</v>
      </c>
      <c r="J236" s="346">
        <v>44122</v>
      </c>
      <c r="K236">
        <v>216.23</v>
      </c>
      <c r="L236" s="102">
        <f t="shared" si="23"/>
        <v>-1.5615041427661014E-2</v>
      </c>
      <c r="N236" s="346">
        <v>44122</v>
      </c>
      <c r="O236">
        <v>115.04</v>
      </c>
      <c r="P236" s="102">
        <f t="shared" si="24"/>
        <v>-3.3439758023861454E-2</v>
      </c>
      <c r="R236" s="346">
        <v>44122</v>
      </c>
      <c r="S236">
        <v>110.8</v>
      </c>
      <c r="T236" s="102">
        <f t="shared" si="25"/>
        <v>-7.8816095776521489E-2</v>
      </c>
      <c r="V236" s="346">
        <v>44122</v>
      </c>
      <c r="W236">
        <v>160.22</v>
      </c>
      <c r="X236" s="102">
        <f t="shared" si="26"/>
        <v>-2.0899535565876204E-2</v>
      </c>
      <c r="Z236" s="346">
        <v>44122</v>
      </c>
      <c r="AA236" s="348">
        <v>3451.75</v>
      </c>
      <c r="AB236" s="102">
        <f t="shared" si="27"/>
        <v>-3.0327099429561244E-3</v>
      </c>
    </row>
    <row r="237" spans="2:28" x14ac:dyDescent="0.25">
      <c r="B237" s="346">
        <v>44115</v>
      </c>
      <c r="C237">
        <v>78.650000000000006</v>
      </c>
      <c r="D237" s="102">
        <f t="shared" si="21"/>
        <v>3.8146779303062317E-2</v>
      </c>
      <c r="F237" s="346">
        <v>44115</v>
      </c>
      <c r="G237">
        <v>265.93</v>
      </c>
      <c r="H237" s="102">
        <f t="shared" si="22"/>
        <v>5.5965210814898914E-3</v>
      </c>
      <c r="J237" s="346">
        <v>44115</v>
      </c>
      <c r="K237">
        <v>219.66</v>
      </c>
      <c r="L237" s="102">
        <f t="shared" si="23"/>
        <v>1.7839766461239082E-2</v>
      </c>
      <c r="N237" s="346">
        <v>44115</v>
      </c>
      <c r="O237">
        <v>119.02</v>
      </c>
      <c r="P237" s="102">
        <f t="shared" si="24"/>
        <v>1.7525861331965542E-2</v>
      </c>
      <c r="R237" s="346">
        <v>44115</v>
      </c>
      <c r="S237">
        <v>120.28</v>
      </c>
      <c r="T237" s="102">
        <f t="shared" si="25"/>
        <v>-1.4582991971161752E-2</v>
      </c>
      <c r="V237" s="346">
        <v>44115</v>
      </c>
      <c r="W237">
        <v>163.63999999999999</v>
      </c>
      <c r="X237" s="102">
        <f t="shared" si="26"/>
        <v>-4.198868131199629E-3</v>
      </c>
      <c r="Z237" s="346">
        <v>44115</v>
      </c>
      <c r="AA237" s="348">
        <v>3462.25</v>
      </c>
      <c r="AB237" s="102">
        <f t="shared" si="27"/>
        <v>-3.1670625494853999E-3</v>
      </c>
    </row>
    <row r="238" spans="2:28" x14ac:dyDescent="0.25">
      <c r="B238" s="346">
        <v>44108</v>
      </c>
      <c r="C238">
        <v>75.760000000000005</v>
      </c>
      <c r="D238" s="102">
        <f t="shared" si="21"/>
        <v>3.8946791003839909E-2</v>
      </c>
      <c r="F238" s="346">
        <v>44108</v>
      </c>
      <c r="G238">
        <v>264.45</v>
      </c>
      <c r="H238" s="102">
        <f t="shared" si="22"/>
        <v>1.7350157728706517E-2</v>
      </c>
      <c r="J238" s="346">
        <v>44108</v>
      </c>
      <c r="K238">
        <v>215.81</v>
      </c>
      <c r="L238" s="102">
        <f t="shared" si="23"/>
        <v>4.6655996896066698E-2</v>
      </c>
      <c r="N238" s="346">
        <v>44108</v>
      </c>
      <c r="O238">
        <v>116.97</v>
      </c>
      <c r="P238" s="102">
        <f t="shared" si="24"/>
        <v>3.4949566448416292E-2</v>
      </c>
      <c r="R238" s="346">
        <v>44108</v>
      </c>
      <c r="S238">
        <v>122.06</v>
      </c>
      <c r="T238" s="102">
        <f t="shared" si="25"/>
        <v>5.9916637721431076E-2</v>
      </c>
      <c r="V238" s="346">
        <v>44108</v>
      </c>
      <c r="W238">
        <v>164.33</v>
      </c>
      <c r="X238" s="102">
        <f t="shared" si="26"/>
        <v>5.171199999999998E-2</v>
      </c>
      <c r="Z238" s="346">
        <v>44108</v>
      </c>
      <c r="AA238" s="348">
        <v>3473.25</v>
      </c>
      <c r="AB238" s="102">
        <f t="shared" si="27"/>
        <v>4.0128771430710586E-2</v>
      </c>
    </row>
    <row r="239" spans="2:28" x14ac:dyDescent="0.25">
      <c r="B239" s="346">
        <v>44101</v>
      </c>
      <c r="C239">
        <v>72.92</v>
      </c>
      <c r="D239" s="102">
        <f t="shared" si="21"/>
        <v>9.2733564013840475E-3</v>
      </c>
      <c r="F239" s="346">
        <v>44101</v>
      </c>
      <c r="G239">
        <v>259.94</v>
      </c>
      <c r="H239" s="102">
        <f t="shared" si="22"/>
        <v>2.0092614394474628E-2</v>
      </c>
      <c r="J239" s="346">
        <v>44101</v>
      </c>
      <c r="K239">
        <v>206.19</v>
      </c>
      <c r="L239" s="102">
        <f t="shared" si="23"/>
        <v>-7.8433259551534684E-3</v>
      </c>
      <c r="N239" s="346">
        <v>44101</v>
      </c>
      <c r="O239">
        <v>113.02</v>
      </c>
      <c r="P239" s="102">
        <f t="shared" si="24"/>
        <v>6.5906661916637077E-3</v>
      </c>
      <c r="R239" s="346">
        <v>44101</v>
      </c>
      <c r="S239">
        <v>115.16</v>
      </c>
      <c r="T239" s="102">
        <f t="shared" si="25"/>
        <v>1.3553951769054606E-2</v>
      </c>
      <c r="V239" s="346">
        <v>44101</v>
      </c>
      <c r="W239">
        <v>156.25</v>
      </c>
      <c r="X239" s="102">
        <f t="shared" si="26"/>
        <v>9.627810803825243E-3</v>
      </c>
      <c r="Z239" s="346">
        <v>44101</v>
      </c>
      <c r="AA239" s="348">
        <v>3339.25</v>
      </c>
      <c r="AB239" s="102">
        <f t="shared" si="27"/>
        <v>1.5818693436763231E-2</v>
      </c>
    </row>
    <row r="240" spans="2:28" x14ac:dyDescent="0.25">
      <c r="B240" s="346">
        <v>44094</v>
      </c>
      <c r="C240">
        <v>72.25</v>
      </c>
      <c r="D240" s="102">
        <f t="shared" si="21"/>
        <v>-1.0273972602739767E-2</v>
      </c>
      <c r="F240" s="346">
        <v>44094</v>
      </c>
      <c r="G240">
        <v>254.82</v>
      </c>
      <c r="H240" s="102">
        <f t="shared" si="22"/>
        <v>9.0682295172850313E-3</v>
      </c>
      <c r="J240" s="346">
        <v>44094</v>
      </c>
      <c r="K240">
        <v>207.82</v>
      </c>
      <c r="L240" s="102">
        <f t="shared" si="23"/>
        <v>3.7077698487948618E-2</v>
      </c>
      <c r="N240" s="346">
        <v>44094</v>
      </c>
      <c r="O240">
        <v>112.28</v>
      </c>
      <c r="P240" s="102">
        <f t="shared" si="24"/>
        <v>5.0917259453388208E-2</v>
      </c>
      <c r="R240" s="346">
        <v>44094</v>
      </c>
      <c r="S240">
        <v>113.62</v>
      </c>
      <c r="T240" s="102">
        <f t="shared" si="25"/>
        <v>-3.104212860310418E-2</v>
      </c>
      <c r="V240" s="346">
        <v>44094</v>
      </c>
      <c r="W240">
        <v>154.76</v>
      </c>
      <c r="X240" s="102">
        <f t="shared" si="26"/>
        <v>4.7445008460236915E-2</v>
      </c>
      <c r="Z240" s="346">
        <v>44094</v>
      </c>
      <c r="AA240" s="348">
        <v>3287.25</v>
      </c>
      <c r="AB240" s="102">
        <f t="shared" si="27"/>
        <v>-1.9784708969465603E-2</v>
      </c>
    </row>
    <row r="241" spans="2:28" x14ac:dyDescent="0.25">
      <c r="B241" s="346">
        <v>44087</v>
      </c>
      <c r="C241">
        <v>73</v>
      </c>
      <c r="D241" s="102">
        <f t="shared" si="21"/>
        <v>-3.9978958442924872E-2</v>
      </c>
      <c r="F241" s="346">
        <v>44087</v>
      </c>
      <c r="G241">
        <v>252.53</v>
      </c>
      <c r="H241" s="102">
        <f t="shared" si="22"/>
        <v>-5.2811222384756773E-2</v>
      </c>
      <c r="J241" s="346">
        <v>44087</v>
      </c>
      <c r="K241">
        <v>200.39</v>
      </c>
      <c r="L241" s="102">
        <f t="shared" si="23"/>
        <v>-1.7840513649953538E-2</v>
      </c>
      <c r="N241" s="346">
        <v>44087</v>
      </c>
      <c r="O241">
        <v>106.84</v>
      </c>
      <c r="P241" s="102">
        <f t="shared" si="24"/>
        <v>-4.6071428571428541E-2</v>
      </c>
      <c r="R241" s="346">
        <v>44087</v>
      </c>
      <c r="S241">
        <v>117.26</v>
      </c>
      <c r="T241" s="102">
        <f t="shared" si="25"/>
        <v>1.0774933195414116E-2</v>
      </c>
      <c r="V241" s="346">
        <v>44087</v>
      </c>
      <c r="W241">
        <v>147.75</v>
      </c>
      <c r="X241" s="102">
        <f t="shared" si="26"/>
        <v>-5.1729670752839962E-2</v>
      </c>
      <c r="Z241" s="346">
        <v>44087</v>
      </c>
      <c r="AA241" s="348">
        <v>3353.6</v>
      </c>
      <c r="AB241" s="102">
        <f t="shared" si="27"/>
        <v>5.9542557180352063E-3</v>
      </c>
    </row>
    <row r="242" spans="2:28" x14ac:dyDescent="0.25">
      <c r="B242" s="346">
        <v>44080</v>
      </c>
      <c r="C242">
        <v>76.040000000000006</v>
      </c>
      <c r="D242" s="102">
        <f t="shared" si="21"/>
        <v>-4.4123192960402124E-2</v>
      </c>
      <c r="F242" s="346">
        <v>44080</v>
      </c>
      <c r="G242">
        <v>266.61</v>
      </c>
      <c r="H242" s="102">
        <f t="shared" si="22"/>
        <v>-5.7015527181409786E-2</v>
      </c>
      <c r="J242" s="346">
        <v>44080</v>
      </c>
      <c r="K242">
        <v>204.03</v>
      </c>
      <c r="L242" s="102">
        <f t="shared" si="23"/>
        <v>-4.7701283547257889E-2</v>
      </c>
      <c r="N242" s="346">
        <v>44080</v>
      </c>
      <c r="O242">
        <v>112</v>
      </c>
      <c r="P242" s="102">
        <f t="shared" si="24"/>
        <v>-7.407407407407407E-2</v>
      </c>
      <c r="R242" s="346">
        <v>44080</v>
      </c>
      <c r="S242">
        <v>116.01</v>
      </c>
      <c r="T242" s="102">
        <f t="shared" si="25"/>
        <v>-6.9337442218797563E-3</v>
      </c>
      <c r="V242" s="346">
        <v>44080</v>
      </c>
      <c r="W242">
        <v>155.81</v>
      </c>
      <c r="X242" s="102">
        <f t="shared" si="26"/>
        <v>-5.4149213865112511E-2</v>
      </c>
      <c r="Z242" s="346">
        <v>44080</v>
      </c>
      <c r="AA242" s="348">
        <v>3333.75</v>
      </c>
      <c r="AB242" s="102">
        <f t="shared" si="27"/>
        <v>-2.4506217995610813E-2</v>
      </c>
    </row>
    <row r="243" spans="2:28" x14ac:dyDescent="0.25">
      <c r="B243" s="346">
        <v>44073</v>
      </c>
      <c r="C243">
        <v>79.55</v>
      </c>
      <c r="D243" s="102">
        <f t="shared" si="21"/>
        <v>-3.2473850644612057E-2</v>
      </c>
      <c r="F243" s="346">
        <v>44073</v>
      </c>
      <c r="G243">
        <v>282.73</v>
      </c>
      <c r="H243" s="102">
        <f t="shared" si="22"/>
        <v>-3.721991418647419E-2</v>
      </c>
      <c r="J243" s="346">
        <v>44073</v>
      </c>
      <c r="K243">
        <v>214.25</v>
      </c>
      <c r="L243" s="102">
        <f t="shared" si="23"/>
        <v>-6.404263684417455E-2</v>
      </c>
      <c r="N243" s="346">
        <v>44073</v>
      </c>
      <c r="O243">
        <v>120.96</v>
      </c>
      <c r="P243" s="102">
        <f t="shared" si="24"/>
        <v>-3.0846887268648371E-2</v>
      </c>
      <c r="R243" s="346">
        <v>44073</v>
      </c>
      <c r="S243">
        <v>116.82</v>
      </c>
      <c r="T243" s="102">
        <f t="shared" si="25"/>
        <v>-2.2099447513812209E-2</v>
      </c>
      <c r="V243" s="346">
        <v>44073</v>
      </c>
      <c r="W243">
        <v>164.73</v>
      </c>
      <c r="X243" s="102">
        <f t="shared" si="26"/>
        <v>-3.1512728555470715E-2</v>
      </c>
      <c r="Z243" s="346">
        <v>44073</v>
      </c>
      <c r="AA243" s="348">
        <v>3417.5</v>
      </c>
      <c r="AB243" s="102">
        <f t="shared" si="27"/>
        <v>-2.4825224711085725E-2</v>
      </c>
    </row>
    <row r="244" spans="2:28" x14ac:dyDescent="0.25">
      <c r="B244" s="346">
        <v>44066</v>
      </c>
      <c r="C244">
        <v>82.22</v>
      </c>
      <c r="D244" s="102">
        <f t="shared" si="21"/>
        <v>4.04960769425462E-2</v>
      </c>
      <c r="F244" s="346">
        <v>44066</v>
      </c>
      <c r="G244">
        <v>293.66000000000003</v>
      </c>
      <c r="H244" s="102">
        <f t="shared" si="22"/>
        <v>9.9808995917755938E-2</v>
      </c>
      <c r="J244" s="346">
        <v>44066</v>
      </c>
      <c r="K244">
        <v>228.91</v>
      </c>
      <c r="L244" s="102">
        <f t="shared" si="23"/>
        <v>7.459393484179877E-2</v>
      </c>
      <c r="N244" s="346">
        <v>44066</v>
      </c>
      <c r="O244">
        <v>124.81</v>
      </c>
      <c r="P244" s="102">
        <f t="shared" si="24"/>
        <v>3.5378306665594383E-3</v>
      </c>
      <c r="R244" s="346">
        <v>44066</v>
      </c>
      <c r="S244">
        <v>119.46</v>
      </c>
      <c r="T244" s="102">
        <f t="shared" si="25"/>
        <v>1.5470928255695293E-2</v>
      </c>
      <c r="V244" s="346">
        <v>44066</v>
      </c>
      <c r="W244">
        <v>170.09</v>
      </c>
      <c r="X244" s="102">
        <f t="shared" si="26"/>
        <v>3.5618606916707263E-2</v>
      </c>
      <c r="Z244" s="346">
        <v>44066</v>
      </c>
      <c r="AA244" s="348">
        <v>3504.5</v>
      </c>
      <c r="AB244" s="102">
        <f t="shared" si="27"/>
        <v>3.3014001473839372E-2</v>
      </c>
    </row>
    <row r="245" spans="2:28" x14ac:dyDescent="0.25">
      <c r="B245" s="346">
        <v>44059</v>
      </c>
      <c r="C245">
        <v>79.02</v>
      </c>
      <c r="D245" s="102">
        <f t="shared" si="21"/>
        <v>4.8149621965777989E-2</v>
      </c>
      <c r="F245" s="346">
        <v>44059</v>
      </c>
      <c r="G245">
        <v>267.01</v>
      </c>
      <c r="H245" s="102">
        <f t="shared" si="22"/>
        <v>2.2086969836165871E-2</v>
      </c>
      <c r="J245" s="346">
        <v>44059</v>
      </c>
      <c r="K245">
        <v>213.02</v>
      </c>
      <c r="L245" s="102">
        <f t="shared" si="23"/>
        <v>1.9722355193872776E-2</v>
      </c>
      <c r="N245" s="346">
        <v>44059</v>
      </c>
      <c r="O245">
        <v>124.37</v>
      </c>
      <c r="P245" s="102">
        <f t="shared" si="24"/>
        <v>8.232529805935096E-2</v>
      </c>
      <c r="R245" s="346">
        <v>44059</v>
      </c>
      <c r="S245">
        <v>117.64</v>
      </c>
      <c r="T245" s="102">
        <f t="shared" si="25"/>
        <v>-1.6798997074801592E-2</v>
      </c>
      <c r="V245" s="346">
        <v>44059</v>
      </c>
      <c r="W245">
        <v>164.24</v>
      </c>
      <c r="X245" s="102">
        <f t="shared" si="26"/>
        <v>4.3456162642947938E-2</v>
      </c>
      <c r="Z245" s="346">
        <v>44059</v>
      </c>
      <c r="AA245" s="348">
        <v>3392.5</v>
      </c>
      <c r="AB245" s="102">
        <f t="shared" si="27"/>
        <v>9.2220734791015335E-3</v>
      </c>
    </row>
    <row r="246" spans="2:28" x14ac:dyDescent="0.25">
      <c r="B246" s="346">
        <v>44052</v>
      </c>
      <c r="C246">
        <v>75.39</v>
      </c>
      <c r="D246" s="102">
        <f t="shared" si="21"/>
        <v>8.9668094218415817E-3</v>
      </c>
      <c r="F246" s="346">
        <v>44052</v>
      </c>
      <c r="G246">
        <v>261.24</v>
      </c>
      <c r="H246" s="102">
        <f t="shared" si="22"/>
        <v>-2.682163611980326E-2</v>
      </c>
      <c r="J246" s="346">
        <v>44052</v>
      </c>
      <c r="K246">
        <v>208.9</v>
      </c>
      <c r="L246" s="102">
        <f t="shared" si="23"/>
        <v>-1.6848644578313143E-2</v>
      </c>
      <c r="N246" s="346">
        <v>44052</v>
      </c>
      <c r="O246">
        <v>114.91</v>
      </c>
      <c r="P246" s="102">
        <f t="shared" si="24"/>
        <v>3.4200342003420037E-2</v>
      </c>
      <c r="R246" s="346">
        <v>44052</v>
      </c>
      <c r="S246">
        <v>119.65</v>
      </c>
      <c r="T246" s="102">
        <f t="shared" si="25"/>
        <v>2.4296246648793929E-3</v>
      </c>
      <c r="V246" s="346">
        <v>44052</v>
      </c>
      <c r="W246">
        <v>157.4</v>
      </c>
      <c r="X246" s="102">
        <f t="shared" si="26"/>
        <v>-6.1248973921828043E-3</v>
      </c>
      <c r="Z246" s="346">
        <v>44052</v>
      </c>
      <c r="AA246" s="348">
        <v>3361.5</v>
      </c>
      <c r="AB246" s="102">
        <f t="shared" si="27"/>
        <v>5.0078481201882852E-3</v>
      </c>
    </row>
    <row r="247" spans="2:28" x14ac:dyDescent="0.25">
      <c r="B247" s="346">
        <v>44045</v>
      </c>
      <c r="C247">
        <v>74.72</v>
      </c>
      <c r="D247" s="102">
        <f t="shared" si="21"/>
        <v>7.6871207012811915E-3</v>
      </c>
      <c r="F247" s="346">
        <v>44045</v>
      </c>
      <c r="G247">
        <v>268.44</v>
      </c>
      <c r="H247" s="102">
        <f t="shared" si="22"/>
        <v>5.822525328182282E-2</v>
      </c>
      <c r="J247" s="346">
        <v>44045</v>
      </c>
      <c r="K247">
        <v>212.48</v>
      </c>
      <c r="L247" s="102">
        <f t="shared" si="23"/>
        <v>3.6437246963562764E-2</v>
      </c>
      <c r="N247" s="346">
        <v>44045</v>
      </c>
      <c r="O247">
        <v>111.11</v>
      </c>
      <c r="P247" s="102">
        <f t="shared" si="24"/>
        <v>4.5642763034067224E-2</v>
      </c>
      <c r="R247" s="346">
        <v>44045</v>
      </c>
      <c r="S247">
        <v>119.36</v>
      </c>
      <c r="T247" s="102">
        <f t="shared" si="25"/>
        <v>1.6435323171250849E-2</v>
      </c>
      <c r="V247" s="346">
        <v>44045</v>
      </c>
      <c r="W247">
        <v>158.37</v>
      </c>
      <c r="X247" s="102">
        <f t="shared" si="26"/>
        <v>8.8478796688384875E-4</v>
      </c>
      <c r="Z247" s="346">
        <v>44045</v>
      </c>
      <c r="AA247" s="348">
        <v>3344.75</v>
      </c>
      <c r="AB247" s="102">
        <f t="shared" si="27"/>
        <v>2.4896583422705731E-2</v>
      </c>
    </row>
    <row r="248" spans="2:28" x14ac:dyDescent="0.25">
      <c r="B248" s="346">
        <v>44038</v>
      </c>
      <c r="C248">
        <v>74.150000000000006</v>
      </c>
      <c r="D248" s="102">
        <f t="shared" si="21"/>
        <v>-1.9050138907262815E-2</v>
      </c>
      <c r="F248" s="346">
        <v>44038</v>
      </c>
      <c r="G248">
        <v>253.67</v>
      </c>
      <c r="H248" s="102">
        <f t="shared" si="22"/>
        <v>9.9518876511637933E-2</v>
      </c>
      <c r="J248" s="346">
        <v>44038</v>
      </c>
      <c r="K248">
        <v>205.01</v>
      </c>
      <c r="L248" s="102">
        <f t="shared" si="23"/>
        <v>1.8430203676105261E-2</v>
      </c>
      <c r="N248" s="346">
        <v>44038</v>
      </c>
      <c r="O248">
        <v>106.26</v>
      </c>
      <c r="P248" s="102">
        <f t="shared" si="24"/>
        <v>0.14739229024943312</v>
      </c>
      <c r="R248" s="346">
        <v>44038</v>
      </c>
      <c r="S248">
        <v>117.43</v>
      </c>
      <c r="T248" s="102">
        <f t="shared" si="25"/>
        <v>-2.2638368705784395E-2</v>
      </c>
      <c r="V248" s="346">
        <v>44038</v>
      </c>
      <c r="W248">
        <v>158.22999999999999</v>
      </c>
      <c r="X248" s="102">
        <f t="shared" si="26"/>
        <v>5.1711532070455313E-2</v>
      </c>
      <c r="Z248" s="346">
        <v>44038</v>
      </c>
      <c r="AA248" s="348">
        <v>3263.5</v>
      </c>
      <c r="AB248" s="102">
        <f t="shared" si="27"/>
        <v>1.8570536828963702E-2</v>
      </c>
    </row>
    <row r="249" spans="2:28" x14ac:dyDescent="0.25">
      <c r="B249" s="346">
        <v>44031</v>
      </c>
      <c r="C249">
        <v>75.59</v>
      </c>
      <c r="D249" s="102">
        <f t="shared" si="21"/>
        <v>-2.5072578516758259E-3</v>
      </c>
      <c r="F249" s="346">
        <v>44031</v>
      </c>
      <c r="G249">
        <v>230.71</v>
      </c>
      <c r="H249" s="102">
        <f t="shared" si="22"/>
        <v>-4.6771061438664607E-2</v>
      </c>
      <c r="J249" s="346">
        <v>44031</v>
      </c>
      <c r="K249">
        <v>201.3</v>
      </c>
      <c r="L249" s="102">
        <f t="shared" si="23"/>
        <v>-7.7878548895897737E-3</v>
      </c>
      <c r="N249" s="346">
        <v>44031</v>
      </c>
      <c r="O249">
        <v>92.61</v>
      </c>
      <c r="P249" s="102">
        <f t="shared" si="24"/>
        <v>-3.8617253192151924E-2</v>
      </c>
      <c r="R249" s="346">
        <v>44031</v>
      </c>
      <c r="S249">
        <v>120.15</v>
      </c>
      <c r="T249" s="102">
        <f t="shared" si="25"/>
        <v>5.4393305439330852E-3</v>
      </c>
      <c r="V249" s="346">
        <v>44031</v>
      </c>
      <c r="W249">
        <v>150.44999999999999</v>
      </c>
      <c r="X249" s="102">
        <f t="shared" si="26"/>
        <v>1.5867656988521217E-2</v>
      </c>
      <c r="Z249" s="346">
        <v>44031</v>
      </c>
      <c r="AA249" s="348">
        <v>3204</v>
      </c>
      <c r="AB249" s="102">
        <f t="shared" si="27"/>
        <v>-3.1113876789048422E-3</v>
      </c>
    </row>
    <row r="250" spans="2:28" x14ac:dyDescent="0.25">
      <c r="B250" s="346">
        <v>44024</v>
      </c>
      <c r="C250">
        <v>75.78</v>
      </c>
      <c r="D250" s="102">
        <f t="shared" si="21"/>
        <v>-1.6993124918925906E-2</v>
      </c>
      <c r="F250" s="346">
        <v>44024</v>
      </c>
      <c r="G250">
        <v>242.03</v>
      </c>
      <c r="H250" s="102">
        <f t="shared" si="22"/>
        <v>-1.2404619088423718E-2</v>
      </c>
      <c r="J250" s="346">
        <v>44024</v>
      </c>
      <c r="K250">
        <v>202.88</v>
      </c>
      <c r="L250" s="102">
        <f t="shared" si="23"/>
        <v>-5.0498432161744766E-2</v>
      </c>
      <c r="N250" s="346">
        <v>44024</v>
      </c>
      <c r="O250">
        <v>96.33</v>
      </c>
      <c r="P250" s="102">
        <f t="shared" si="24"/>
        <v>4.2743953294410719E-3</v>
      </c>
      <c r="R250" s="346">
        <v>44024</v>
      </c>
      <c r="S250">
        <v>119.5</v>
      </c>
      <c r="T250" s="102">
        <f t="shared" si="25"/>
        <v>5.7147912243453503E-2</v>
      </c>
      <c r="V250" s="346">
        <v>44024</v>
      </c>
      <c r="W250">
        <v>148.1</v>
      </c>
      <c r="X250" s="102">
        <f t="shared" si="26"/>
        <v>-7.437500000000008E-2</v>
      </c>
      <c r="Z250" s="346">
        <v>44024</v>
      </c>
      <c r="AA250" s="348">
        <v>3214</v>
      </c>
      <c r="AB250" s="102">
        <f t="shared" si="27"/>
        <v>1.1168790309894705E-2</v>
      </c>
    </row>
    <row r="251" spans="2:28" x14ac:dyDescent="0.25">
      <c r="B251" s="346">
        <v>44017</v>
      </c>
      <c r="C251">
        <v>77.09</v>
      </c>
      <c r="D251" s="102">
        <f t="shared" si="21"/>
        <v>5.2566903331513037E-2</v>
      </c>
      <c r="F251" s="346">
        <v>44017</v>
      </c>
      <c r="G251">
        <v>245.07</v>
      </c>
      <c r="H251" s="102">
        <f t="shared" si="22"/>
        <v>4.9910033416159738E-2</v>
      </c>
      <c r="J251" s="346">
        <v>44017</v>
      </c>
      <c r="K251">
        <v>213.67</v>
      </c>
      <c r="L251" s="102">
        <f t="shared" si="23"/>
        <v>3.5925530883351042E-2</v>
      </c>
      <c r="N251" s="346">
        <v>44017</v>
      </c>
      <c r="O251">
        <v>95.92</v>
      </c>
      <c r="P251" s="102">
        <f t="shared" si="24"/>
        <v>5.3718554322750744E-2</v>
      </c>
      <c r="R251" s="346">
        <v>44017</v>
      </c>
      <c r="S251">
        <v>113.04</v>
      </c>
      <c r="T251" s="102">
        <f t="shared" si="25"/>
        <v>-1.1283127787982128E-2</v>
      </c>
      <c r="V251" s="346">
        <v>44017</v>
      </c>
      <c r="W251">
        <v>160</v>
      </c>
      <c r="X251" s="102">
        <f t="shared" si="26"/>
        <v>0.10718981385371262</v>
      </c>
      <c r="Z251" s="346">
        <v>44017</v>
      </c>
      <c r="AA251" s="348">
        <v>3178.5</v>
      </c>
      <c r="AB251" s="102">
        <f t="shared" si="27"/>
        <v>1.5819750719079595E-2</v>
      </c>
    </row>
    <row r="252" spans="2:28" x14ac:dyDescent="0.25">
      <c r="B252" s="346">
        <v>44010</v>
      </c>
      <c r="C252">
        <v>73.239999999999995</v>
      </c>
      <c r="D252" s="102">
        <f t="shared" si="21"/>
        <v>7.7058823529411624E-2</v>
      </c>
      <c r="F252" s="346">
        <v>44010</v>
      </c>
      <c r="G252">
        <v>233.42</v>
      </c>
      <c r="H252" s="102">
        <f t="shared" si="22"/>
        <v>8.0248056275453505E-2</v>
      </c>
      <c r="J252" s="346">
        <v>44010</v>
      </c>
      <c r="K252">
        <v>206.26</v>
      </c>
      <c r="L252" s="102">
        <f t="shared" si="23"/>
        <v>5.0578108287067547E-2</v>
      </c>
      <c r="N252" s="346">
        <v>44010</v>
      </c>
      <c r="O252">
        <v>91.03</v>
      </c>
      <c r="P252" s="102">
        <f t="shared" si="24"/>
        <v>2.9634656713041663E-2</v>
      </c>
      <c r="R252" s="346">
        <v>44010</v>
      </c>
      <c r="S252">
        <v>114.33</v>
      </c>
      <c r="T252" s="102">
        <f t="shared" si="25"/>
        <v>2.1350723601929689E-2</v>
      </c>
      <c r="V252" s="346">
        <v>44010</v>
      </c>
      <c r="W252">
        <v>144.51</v>
      </c>
      <c r="X252" s="102">
        <f t="shared" si="26"/>
        <v>7.3306595365418836E-2</v>
      </c>
      <c r="Z252" s="346">
        <v>44010</v>
      </c>
      <c r="AA252" s="348">
        <v>3129</v>
      </c>
      <c r="AB252" s="102">
        <f t="shared" si="27"/>
        <v>4.057199866977057E-2</v>
      </c>
    </row>
    <row r="253" spans="2:28" x14ac:dyDescent="0.25">
      <c r="B253" s="346">
        <v>44003</v>
      </c>
      <c r="C253">
        <v>68</v>
      </c>
      <c r="D253" s="102">
        <f t="shared" si="21"/>
        <v>-5.0146668529124194E-2</v>
      </c>
      <c r="F253" s="346">
        <v>44003</v>
      </c>
      <c r="G253">
        <v>216.08</v>
      </c>
      <c r="H253" s="102">
        <f t="shared" si="22"/>
        <v>-9.510448511244185E-2</v>
      </c>
      <c r="J253" s="346">
        <v>44003</v>
      </c>
      <c r="K253">
        <v>196.33</v>
      </c>
      <c r="L253" s="102">
        <f t="shared" si="23"/>
        <v>6.0466307968229938E-3</v>
      </c>
      <c r="N253" s="346">
        <v>44003</v>
      </c>
      <c r="O253">
        <v>88.41</v>
      </c>
      <c r="P253" s="102">
        <f t="shared" si="24"/>
        <v>1.1208967173738982E-2</v>
      </c>
      <c r="R253" s="346">
        <v>44003</v>
      </c>
      <c r="S253">
        <v>111.94</v>
      </c>
      <c r="T253" s="102">
        <f t="shared" si="25"/>
        <v>-4.308428791246377E-2</v>
      </c>
      <c r="V253" s="346">
        <v>44003</v>
      </c>
      <c r="W253">
        <v>134.63999999999999</v>
      </c>
      <c r="X253" s="102">
        <f t="shared" si="26"/>
        <v>6.6542056074765377E-3</v>
      </c>
      <c r="Z253" s="346">
        <v>44003</v>
      </c>
      <c r="AA253" s="348">
        <v>3007</v>
      </c>
      <c r="AB253" s="102">
        <f t="shared" si="27"/>
        <v>-4.8796998665089353E-2</v>
      </c>
    </row>
    <row r="254" spans="2:28" x14ac:dyDescent="0.25">
      <c r="B254" s="346">
        <v>43996</v>
      </c>
      <c r="C254">
        <v>71.59</v>
      </c>
      <c r="D254" s="102">
        <f t="shared" si="21"/>
        <v>1.3161619020662485E-2</v>
      </c>
      <c r="F254" s="346">
        <v>43996</v>
      </c>
      <c r="G254">
        <v>238.79</v>
      </c>
      <c r="H254" s="102">
        <f t="shared" si="22"/>
        <v>4.4667074984688027E-2</v>
      </c>
      <c r="J254" s="346">
        <v>43996</v>
      </c>
      <c r="K254">
        <v>195.15</v>
      </c>
      <c r="L254" s="102">
        <f t="shared" si="23"/>
        <v>3.9469479066794433E-2</v>
      </c>
      <c r="N254" s="346">
        <v>43996</v>
      </c>
      <c r="O254">
        <v>87.43</v>
      </c>
      <c r="P254" s="102">
        <f t="shared" si="24"/>
        <v>3.2231404958677823E-2</v>
      </c>
      <c r="R254" s="346">
        <v>43996</v>
      </c>
      <c r="S254">
        <v>116.98</v>
      </c>
      <c r="T254" s="102">
        <f t="shared" si="25"/>
        <v>4.6375815870836057E-3</v>
      </c>
      <c r="V254" s="346">
        <v>43996</v>
      </c>
      <c r="W254">
        <v>133.75</v>
      </c>
      <c r="X254" s="102">
        <f t="shared" si="26"/>
        <v>5.1080550098231869E-2</v>
      </c>
      <c r="Z254" s="346">
        <v>43996</v>
      </c>
      <c r="AA254" s="348">
        <v>3161.26</v>
      </c>
      <c r="AB254" s="102">
        <f t="shared" si="27"/>
        <v>4.1687124145316723E-2</v>
      </c>
    </row>
    <row r="255" spans="2:28" x14ac:dyDescent="0.25">
      <c r="B255" s="346">
        <v>43989</v>
      </c>
      <c r="C255">
        <v>70.66</v>
      </c>
      <c r="D255" s="102">
        <f t="shared" si="21"/>
        <v>-1.7519466073414924E-2</v>
      </c>
      <c r="F255" s="346">
        <v>43989</v>
      </c>
      <c r="G255">
        <v>228.58</v>
      </c>
      <c r="H255" s="102">
        <f t="shared" si="22"/>
        <v>-9.4899683667720725E-3</v>
      </c>
      <c r="J255" s="346">
        <v>43989</v>
      </c>
      <c r="K255">
        <v>187.74</v>
      </c>
      <c r="L255" s="102">
        <f t="shared" si="23"/>
        <v>2.8846153846155964E-3</v>
      </c>
      <c r="N255" s="346">
        <v>43989</v>
      </c>
      <c r="O255">
        <v>84.7</v>
      </c>
      <c r="P255" s="102">
        <f t="shared" si="24"/>
        <v>2.1959459459459651E-2</v>
      </c>
      <c r="R255" s="346">
        <v>43989</v>
      </c>
      <c r="S255">
        <v>116.44</v>
      </c>
      <c r="T255" s="102">
        <f t="shared" si="25"/>
        <v>-7.6898684001902695E-2</v>
      </c>
      <c r="V255" s="346">
        <v>43989</v>
      </c>
      <c r="W255">
        <v>127.25</v>
      </c>
      <c r="X255" s="102">
        <f t="shared" si="26"/>
        <v>2.4969794603302509E-2</v>
      </c>
      <c r="Z255" s="346">
        <v>43989</v>
      </c>
      <c r="AA255" s="348">
        <v>3034.75</v>
      </c>
      <c r="AB255" s="102">
        <f t="shared" si="27"/>
        <v>-4.7697497450380433E-2</v>
      </c>
    </row>
    <row r="256" spans="2:28" x14ac:dyDescent="0.25">
      <c r="B256" s="346">
        <v>43982</v>
      </c>
      <c r="C256">
        <v>71.92</v>
      </c>
      <c r="D256" s="102">
        <f t="shared" si="21"/>
        <v>6.5780265920223346E-3</v>
      </c>
      <c r="F256" s="346">
        <v>43982</v>
      </c>
      <c r="G256">
        <v>230.77</v>
      </c>
      <c r="H256" s="102">
        <f t="shared" si="22"/>
        <v>2.52343507041628E-2</v>
      </c>
      <c r="J256" s="346">
        <v>43982</v>
      </c>
      <c r="K256">
        <v>187.2</v>
      </c>
      <c r="L256" s="102">
        <f t="shared" si="23"/>
        <v>2.1555252387448709E-2</v>
      </c>
      <c r="N256" s="346">
        <v>43982</v>
      </c>
      <c r="O256">
        <v>82.88</v>
      </c>
      <c r="P256" s="102">
        <f t="shared" si="24"/>
        <v>4.2646873820606279E-2</v>
      </c>
      <c r="R256" s="346">
        <v>43982</v>
      </c>
      <c r="S256">
        <v>126.14</v>
      </c>
      <c r="T256" s="102">
        <f t="shared" si="25"/>
        <v>5.7334450963956396E-2</v>
      </c>
      <c r="V256" s="346">
        <v>43982</v>
      </c>
      <c r="W256">
        <v>124.15</v>
      </c>
      <c r="X256" s="102">
        <f t="shared" si="26"/>
        <v>1.6622993776613137E-2</v>
      </c>
      <c r="Z256" s="346">
        <v>43982</v>
      </c>
      <c r="AA256" s="348">
        <v>3186.75</v>
      </c>
      <c r="AB256" s="102">
        <f t="shared" si="27"/>
        <v>4.758382642998038E-2</v>
      </c>
    </row>
    <row r="257" spans="2:28" x14ac:dyDescent="0.25">
      <c r="B257" s="346">
        <v>43975</v>
      </c>
      <c r="C257">
        <v>71.45</v>
      </c>
      <c r="D257" s="102">
        <f t="shared" si="21"/>
        <v>1.3187748156551438E-2</v>
      </c>
      <c r="F257" s="346">
        <v>43975</v>
      </c>
      <c r="G257">
        <v>225.09</v>
      </c>
      <c r="H257" s="102">
        <f t="shared" si="22"/>
        <v>-4.1803243795496159E-2</v>
      </c>
      <c r="J257" s="346">
        <v>43975</v>
      </c>
      <c r="K257">
        <v>183.25</v>
      </c>
      <c r="L257" s="102">
        <f t="shared" si="23"/>
        <v>-1.4168165222603335E-3</v>
      </c>
      <c r="N257" s="346">
        <v>43975</v>
      </c>
      <c r="O257">
        <v>79.489999999999995</v>
      </c>
      <c r="P257" s="102">
        <f t="shared" si="24"/>
        <v>-2.885097842448614E-3</v>
      </c>
      <c r="R257" s="346">
        <v>43975</v>
      </c>
      <c r="S257">
        <v>119.3</v>
      </c>
      <c r="T257" s="102">
        <f t="shared" si="25"/>
        <v>5.500530597806863E-2</v>
      </c>
      <c r="V257" s="346">
        <v>43975</v>
      </c>
      <c r="W257">
        <v>122.12</v>
      </c>
      <c r="X257" s="102">
        <f t="shared" si="26"/>
        <v>2.2980958634275517E-3</v>
      </c>
      <c r="Z257" s="346">
        <v>43975</v>
      </c>
      <c r="AA257" s="348">
        <v>3042</v>
      </c>
      <c r="AB257" s="102">
        <f t="shared" si="27"/>
        <v>3.0138841855740006E-2</v>
      </c>
    </row>
    <row r="258" spans="2:28" x14ac:dyDescent="0.25">
      <c r="B258" s="346">
        <v>43968</v>
      </c>
      <c r="C258">
        <v>70.52</v>
      </c>
      <c r="D258" s="102">
        <f t="shared" si="21"/>
        <v>2.7090008738712479E-2</v>
      </c>
      <c r="F258" s="346">
        <v>43968</v>
      </c>
      <c r="G258">
        <v>234.91</v>
      </c>
      <c r="H258" s="102">
        <f t="shared" si="22"/>
        <v>0.11395106221547802</v>
      </c>
      <c r="J258" s="346">
        <v>43968</v>
      </c>
      <c r="K258">
        <v>183.51</v>
      </c>
      <c r="L258" s="102">
        <f t="shared" si="23"/>
        <v>1.9108975758899138E-3</v>
      </c>
      <c r="N258" s="346">
        <v>43968</v>
      </c>
      <c r="O258">
        <v>79.72</v>
      </c>
      <c r="P258" s="102">
        <f t="shared" si="24"/>
        <v>3.6266735993760513E-2</v>
      </c>
      <c r="R258" s="346">
        <v>43968</v>
      </c>
      <c r="S258">
        <v>113.08</v>
      </c>
      <c r="T258" s="102">
        <f t="shared" si="25"/>
        <v>1.1992124574906171E-2</v>
      </c>
      <c r="V258" s="346">
        <v>43968</v>
      </c>
      <c r="W258">
        <v>121.84</v>
      </c>
      <c r="X258" s="102">
        <f t="shared" si="26"/>
        <v>1.1204249315295955E-2</v>
      </c>
      <c r="Z258" s="346">
        <v>43968</v>
      </c>
      <c r="AA258" s="348">
        <v>2953</v>
      </c>
      <c r="AB258" s="102">
        <f t="shared" si="27"/>
        <v>3.7414368522747266E-2</v>
      </c>
    </row>
    <row r="259" spans="2:28" x14ac:dyDescent="0.25">
      <c r="B259" s="346">
        <v>43961</v>
      </c>
      <c r="C259">
        <v>68.66</v>
      </c>
      <c r="D259" s="102">
        <f t="shared" si="21"/>
        <v>-1.0947853644482919E-2</v>
      </c>
      <c r="F259" s="346">
        <v>43961</v>
      </c>
      <c r="G259">
        <v>210.88</v>
      </c>
      <c r="H259" s="102">
        <f t="shared" si="22"/>
        <v>-6.922533553096244E-3</v>
      </c>
      <c r="J259" s="346">
        <v>43961</v>
      </c>
      <c r="K259">
        <v>183.16</v>
      </c>
      <c r="L259" s="102">
        <f t="shared" si="23"/>
        <v>-8.2304526748971929E-3</v>
      </c>
      <c r="N259" s="346">
        <v>43961</v>
      </c>
      <c r="O259">
        <v>76.930000000000007</v>
      </c>
      <c r="P259" s="102">
        <f t="shared" si="24"/>
        <v>-7.7389397652520842E-3</v>
      </c>
      <c r="R259" s="346">
        <v>43961</v>
      </c>
      <c r="S259">
        <v>111.74</v>
      </c>
      <c r="T259" s="102">
        <f t="shared" si="25"/>
        <v>-4.8859380320054546E-2</v>
      </c>
      <c r="V259" s="346">
        <v>43961</v>
      </c>
      <c r="W259">
        <v>120.49</v>
      </c>
      <c r="X259" s="102">
        <f t="shared" si="26"/>
        <v>1.2691208606488313E-2</v>
      </c>
      <c r="Z259" s="346">
        <v>43961</v>
      </c>
      <c r="AA259" s="348">
        <v>2846.5</v>
      </c>
      <c r="AB259" s="102">
        <f t="shared" si="27"/>
        <v>-2.8000682943486455E-2</v>
      </c>
    </row>
    <row r="260" spans="2:28" x14ac:dyDescent="0.25">
      <c r="B260" s="346">
        <v>43954</v>
      </c>
      <c r="C260">
        <v>69.42</v>
      </c>
      <c r="D260" s="102">
        <f t="shared" si="21"/>
        <v>5.1340299863698258E-2</v>
      </c>
      <c r="F260" s="346">
        <v>43954</v>
      </c>
      <c r="G260">
        <v>212.35</v>
      </c>
      <c r="H260" s="102">
        <f t="shared" si="22"/>
        <v>4.9834379789390315E-2</v>
      </c>
      <c r="J260" s="346">
        <v>43954</v>
      </c>
      <c r="K260">
        <v>184.68</v>
      </c>
      <c r="L260" s="102">
        <f t="shared" si="23"/>
        <v>5.7913730881594905E-2</v>
      </c>
      <c r="N260" s="346">
        <v>43954</v>
      </c>
      <c r="O260">
        <v>77.53</v>
      </c>
      <c r="P260" s="102">
        <f t="shared" si="24"/>
        <v>7.2782620727826375E-2</v>
      </c>
      <c r="R260" s="346">
        <v>43954</v>
      </c>
      <c r="S260">
        <v>117.48</v>
      </c>
      <c r="T260" s="102">
        <f t="shared" si="25"/>
        <v>9.1916502018727364E-3</v>
      </c>
      <c r="V260" s="346">
        <v>43954</v>
      </c>
      <c r="W260">
        <v>118.98</v>
      </c>
      <c r="X260" s="102">
        <f t="shared" si="26"/>
        <v>4.0944881889763751E-2</v>
      </c>
      <c r="Z260" s="346">
        <v>43954</v>
      </c>
      <c r="AA260" s="348">
        <v>2928.5</v>
      </c>
      <c r="AB260" s="102">
        <f t="shared" si="27"/>
        <v>3.7831133162044894E-2</v>
      </c>
    </row>
    <row r="261" spans="2:28" x14ac:dyDescent="0.25">
      <c r="B261" s="346">
        <v>43947</v>
      </c>
      <c r="C261">
        <v>66.03</v>
      </c>
      <c r="D261" s="102">
        <f t="shared" si="21"/>
        <v>3.2202594966390441E-2</v>
      </c>
      <c r="F261" s="346">
        <v>43947</v>
      </c>
      <c r="G261">
        <v>202.27</v>
      </c>
      <c r="H261" s="102">
        <f t="shared" si="22"/>
        <v>6.4186878518440738E-2</v>
      </c>
      <c r="J261" s="346">
        <v>43947</v>
      </c>
      <c r="K261">
        <v>174.57</v>
      </c>
      <c r="L261" s="102">
        <f t="shared" si="23"/>
        <v>1.1458034946998374E-4</v>
      </c>
      <c r="N261" s="346">
        <v>43947</v>
      </c>
      <c r="O261">
        <v>72.27</v>
      </c>
      <c r="P261" s="102">
        <f t="shared" si="24"/>
        <v>2.1628498727735312E-2</v>
      </c>
      <c r="R261" s="346">
        <v>43947</v>
      </c>
      <c r="S261">
        <v>116.41</v>
      </c>
      <c r="T261" s="102">
        <f t="shared" si="25"/>
        <v>-2.2832200117518631E-2</v>
      </c>
      <c r="V261" s="346">
        <v>43947</v>
      </c>
      <c r="W261">
        <v>114.3</v>
      </c>
      <c r="X261" s="102">
        <f t="shared" si="26"/>
        <v>-5.153099327856614E-2</v>
      </c>
      <c r="Z261" s="346">
        <v>43947</v>
      </c>
      <c r="AA261" s="348">
        <v>2821.75</v>
      </c>
      <c r="AB261" s="102">
        <f t="shared" si="27"/>
        <v>-2.738999823290289E-3</v>
      </c>
    </row>
    <row r="262" spans="2:28" x14ac:dyDescent="0.25">
      <c r="B262" s="346">
        <v>43940</v>
      </c>
      <c r="C262">
        <v>63.97</v>
      </c>
      <c r="D262" s="102">
        <f t="shared" si="21"/>
        <v>-2.9613466334164062E-3</v>
      </c>
      <c r="F262" s="346">
        <v>43940</v>
      </c>
      <c r="G262">
        <v>190.07</v>
      </c>
      <c r="H262" s="102">
        <f t="shared" si="22"/>
        <v>6.0421780852488283E-2</v>
      </c>
      <c r="J262" s="346">
        <v>43940</v>
      </c>
      <c r="K262">
        <v>174.55</v>
      </c>
      <c r="L262" s="102">
        <f t="shared" si="23"/>
        <v>-2.267637178051507E-2</v>
      </c>
      <c r="N262" s="346">
        <v>43940</v>
      </c>
      <c r="O262">
        <v>70.739999999999995</v>
      </c>
      <c r="P262" s="102">
        <f t="shared" si="24"/>
        <v>5.6577086280040767E-4</v>
      </c>
      <c r="R262" s="346">
        <v>43940</v>
      </c>
      <c r="S262">
        <v>119.13</v>
      </c>
      <c r="T262" s="102">
        <f t="shared" si="25"/>
        <v>3.8350910834132224E-2</v>
      </c>
      <c r="V262" s="346">
        <v>43940</v>
      </c>
      <c r="W262">
        <v>120.51</v>
      </c>
      <c r="X262" s="102">
        <f t="shared" si="26"/>
        <v>1.4821052631579068E-2</v>
      </c>
      <c r="Z262" s="346">
        <v>43940</v>
      </c>
      <c r="AA262" s="348">
        <v>2829.5</v>
      </c>
      <c r="AB262" s="102">
        <f t="shared" si="27"/>
        <v>-1.411149825783975E-2</v>
      </c>
    </row>
    <row r="263" spans="2:28" x14ac:dyDescent="0.25">
      <c r="B263" s="346">
        <v>43933</v>
      </c>
      <c r="C263">
        <v>64.16</v>
      </c>
      <c r="D263" s="102">
        <f t="shared" si="21"/>
        <v>5.9270265808155864E-2</v>
      </c>
      <c r="F263" s="346">
        <v>43933</v>
      </c>
      <c r="G263">
        <v>179.24</v>
      </c>
      <c r="H263" s="102">
        <f t="shared" si="22"/>
        <v>2.311775786289183E-2</v>
      </c>
      <c r="J263" s="346">
        <v>43933</v>
      </c>
      <c r="K263">
        <v>178.6</v>
      </c>
      <c r="L263" s="102">
        <f t="shared" si="23"/>
        <v>8.1506600460215628E-2</v>
      </c>
      <c r="N263" s="346">
        <v>43933</v>
      </c>
      <c r="O263">
        <v>70.7</v>
      </c>
      <c r="P263" s="102">
        <f t="shared" si="24"/>
        <v>5.5223880597014885E-2</v>
      </c>
      <c r="R263" s="346">
        <v>43933</v>
      </c>
      <c r="S263">
        <v>114.73</v>
      </c>
      <c r="T263" s="102">
        <f t="shared" si="25"/>
        <v>-1.1374407582938284E-2</v>
      </c>
      <c r="V263" s="346">
        <v>43933</v>
      </c>
      <c r="W263">
        <v>118.75</v>
      </c>
      <c r="X263" s="102">
        <f t="shared" si="26"/>
        <v>0.16261993342471115</v>
      </c>
      <c r="Z263" s="346">
        <v>43933</v>
      </c>
      <c r="AA263" s="348">
        <v>2870</v>
      </c>
      <c r="AB263" s="102">
        <f t="shared" si="27"/>
        <v>3.2466948466588708E-2</v>
      </c>
    </row>
    <row r="264" spans="2:28" x14ac:dyDescent="0.25">
      <c r="B264" s="346">
        <v>43926</v>
      </c>
      <c r="C264">
        <v>60.57</v>
      </c>
      <c r="D264" s="102">
        <f t="shared" si="21"/>
        <v>0.10347968664601925</v>
      </c>
      <c r="F264" s="346">
        <v>43926</v>
      </c>
      <c r="G264">
        <v>175.19</v>
      </c>
      <c r="H264" s="102">
        <f t="shared" si="22"/>
        <v>0.13626929562848611</v>
      </c>
      <c r="J264" s="346">
        <v>43926</v>
      </c>
      <c r="K264">
        <v>165.14</v>
      </c>
      <c r="L264" s="102">
        <f t="shared" si="23"/>
        <v>7.3522719885587895E-2</v>
      </c>
      <c r="N264" s="346">
        <v>43926</v>
      </c>
      <c r="O264">
        <v>67</v>
      </c>
      <c r="P264" s="102">
        <f t="shared" si="24"/>
        <v>0.11019055509527753</v>
      </c>
      <c r="R264" s="346">
        <v>43926</v>
      </c>
      <c r="S264">
        <v>116.05</v>
      </c>
      <c r="T264" s="102">
        <f t="shared" si="25"/>
        <v>0.14256178005316533</v>
      </c>
      <c r="V264" s="346">
        <v>43926</v>
      </c>
      <c r="W264">
        <v>102.14</v>
      </c>
      <c r="X264" s="102">
        <f t="shared" si="26"/>
        <v>7.1436064198048932E-2</v>
      </c>
      <c r="Z264" s="346">
        <v>43926</v>
      </c>
      <c r="AA264" s="348">
        <v>2779.75</v>
      </c>
      <c r="AB264" s="102">
        <f t="shared" si="27"/>
        <v>0.11962541536602567</v>
      </c>
    </row>
    <row r="265" spans="2:28" x14ac:dyDescent="0.25">
      <c r="B265" s="346">
        <v>43919</v>
      </c>
      <c r="C265">
        <v>54.89</v>
      </c>
      <c r="D265" s="102">
        <f t="shared" si="21"/>
        <v>-1.170327691753692E-2</v>
      </c>
      <c r="F265" s="346">
        <v>43919</v>
      </c>
      <c r="G265">
        <v>154.18</v>
      </c>
      <c r="H265" s="102">
        <f t="shared" si="22"/>
        <v>-1.6646469800369879E-2</v>
      </c>
      <c r="J265" s="346">
        <v>43919</v>
      </c>
      <c r="K265">
        <v>153.83000000000001</v>
      </c>
      <c r="L265" s="102">
        <f t="shared" si="23"/>
        <v>2.758851035404164E-2</v>
      </c>
      <c r="N265" s="346">
        <v>43919</v>
      </c>
      <c r="O265">
        <v>60.35</v>
      </c>
      <c r="P265" s="102">
        <f t="shared" si="24"/>
        <v>-2.5670003228931204E-2</v>
      </c>
      <c r="R265" s="346">
        <v>43919</v>
      </c>
      <c r="S265">
        <v>101.57</v>
      </c>
      <c r="T265" s="102">
        <f t="shared" si="25"/>
        <v>-1.5699195658494092E-2</v>
      </c>
      <c r="V265" s="346">
        <v>43919</v>
      </c>
      <c r="W265">
        <v>95.33</v>
      </c>
      <c r="X265" s="102">
        <f t="shared" si="26"/>
        <v>3.4736842105262955E-3</v>
      </c>
      <c r="Z265" s="346">
        <v>43919</v>
      </c>
      <c r="AA265" s="348">
        <v>2482.75</v>
      </c>
      <c r="AB265" s="102">
        <f t="shared" si="27"/>
        <v>-1.634310618066559E-2</v>
      </c>
    </row>
    <row r="266" spans="2:28" x14ac:dyDescent="0.25">
      <c r="B266" s="346">
        <v>43912</v>
      </c>
      <c r="C266">
        <v>55.54</v>
      </c>
      <c r="D266" s="102">
        <f t="shared" si="21"/>
        <v>3.580753450205143E-2</v>
      </c>
      <c r="F266" s="346">
        <v>43912</v>
      </c>
      <c r="G266">
        <v>156.79</v>
      </c>
      <c r="H266" s="102">
        <f t="shared" si="22"/>
        <v>4.7151539437654488E-2</v>
      </c>
      <c r="J266" s="346">
        <v>43912</v>
      </c>
      <c r="K266">
        <v>149.69999999999999</v>
      </c>
      <c r="L266" s="102">
        <f t="shared" si="23"/>
        <v>8.9916272297051236E-2</v>
      </c>
      <c r="N266" s="346">
        <v>43912</v>
      </c>
      <c r="O266">
        <v>61.94</v>
      </c>
      <c r="P266" s="102">
        <f t="shared" si="24"/>
        <v>8.0788693072762152E-2</v>
      </c>
      <c r="R266" s="346">
        <v>43912</v>
      </c>
      <c r="S266">
        <v>103.19</v>
      </c>
      <c r="T266" s="102">
        <f t="shared" si="25"/>
        <v>0.13258698276808256</v>
      </c>
      <c r="V266" s="346">
        <v>43912</v>
      </c>
      <c r="W266">
        <v>95</v>
      </c>
      <c r="X266" s="102">
        <f t="shared" si="26"/>
        <v>2.9252437703142009E-2</v>
      </c>
      <c r="Z266" s="346">
        <v>43912</v>
      </c>
      <c r="AA266" s="348">
        <v>2524</v>
      </c>
      <c r="AB266" s="102">
        <f t="shared" si="27"/>
        <v>3.5283308312619388E-2</v>
      </c>
    </row>
    <row r="267" spans="2:28" x14ac:dyDescent="0.25">
      <c r="B267" s="346">
        <v>43905</v>
      </c>
      <c r="C267">
        <v>53.62</v>
      </c>
      <c r="D267" s="102">
        <f t="shared" si="21"/>
        <v>-0.12083948188227589</v>
      </c>
      <c r="F267" s="346">
        <v>43905</v>
      </c>
      <c r="G267">
        <v>149.72999999999999</v>
      </c>
      <c r="H267" s="102">
        <f t="shared" si="22"/>
        <v>-0.12068357998590562</v>
      </c>
      <c r="J267" s="346">
        <v>43905</v>
      </c>
      <c r="K267">
        <v>137.35</v>
      </c>
      <c r="L267" s="102">
        <f t="shared" si="23"/>
        <v>-0.13523893471006743</v>
      </c>
      <c r="N267" s="346">
        <v>43905</v>
      </c>
      <c r="O267">
        <v>57.31</v>
      </c>
      <c r="P267" s="102">
        <f t="shared" si="24"/>
        <v>-0.17527701827601083</v>
      </c>
      <c r="R267" s="346">
        <v>43905</v>
      </c>
      <c r="S267">
        <v>91.11</v>
      </c>
      <c r="T267" s="102">
        <f t="shared" si="25"/>
        <v>-0.11638056444573752</v>
      </c>
      <c r="V267" s="346">
        <v>43905</v>
      </c>
      <c r="W267">
        <v>92.3</v>
      </c>
      <c r="X267" s="102">
        <f t="shared" si="26"/>
        <v>3.4173669467786993E-2</v>
      </c>
      <c r="Z267" s="346">
        <v>43905</v>
      </c>
      <c r="AA267" s="348">
        <v>2437.98</v>
      </c>
      <c r="AB267" s="102">
        <f t="shared" si="27"/>
        <v>-9.5704747774480681E-2</v>
      </c>
    </row>
    <row r="268" spans="2:28" x14ac:dyDescent="0.25">
      <c r="B268" s="346">
        <v>43898</v>
      </c>
      <c r="C268">
        <v>60.99</v>
      </c>
      <c r="D268" s="102">
        <f t="shared" si="21"/>
        <v>-6.0536044362292096E-2</v>
      </c>
      <c r="F268" s="346">
        <v>43898</v>
      </c>
      <c r="G268">
        <v>170.28</v>
      </c>
      <c r="H268" s="102">
        <f t="shared" si="22"/>
        <v>-5.9694074769451655E-2</v>
      </c>
      <c r="J268" s="346">
        <v>43898</v>
      </c>
      <c r="K268">
        <v>158.83000000000001</v>
      </c>
      <c r="L268" s="102">
        <f t="shared" si="23"/>
        <v>-1.6958593798353516E-2</v>
      </c>
      <c r="N268" s="346">
        <v>43898</v>
      </c>
      <c r="O268">
        <v>69.489999999999995</v>
      </c>
      <c r="P268" s="102">
        <f t="shared" si="24"/>
        <v>-3.8333794630501128E-2</v>
      </c>
      <c r="R268" s="346">
        <v>43898</v>
      </c>
      <c r="S268">
        <v>103.11</v>
      </c>
      <c r="T268" s="102">
        <f t="shared" si="25"/>
        <v>-0.1548360655737705</v>
      </c>
      <c r="V268" s="346">
        <v>43898</v>
      </c>
      <c r="W268">
        <v>89.25</v>
      </c>
      <c r="X268" s="102">
        <f t="shared" si="26"/>
        <v>-6.1020515518148355E-2</v>
      </c>
      <c r="Z268" s="346">
        <v>43898</v>
      </c>
      <c r="AA268" s="348">
        <v>2696</v>
      </c>
      <c r="AB268" s="102">
        <f t="shared" si="27"/>
        <v>-9.0418353576248278E-2</v>
      </c>
    </row>
    <row r="269" spans="2:28" x14ac:dyDescent="0.25">
      <c r="B269" s="346">
        <v>43891</v>
      </c>
      <c r="C269">
        <v>64.92</v>
      </c>
      <c r="D269" s="102">
        <f t="shared" si="21"/>
        <v>-3.0610721218455983E-2</v>
      </c>
      <c r="F269" s="346">
        <v>43891</v>
      </c>
      <c r="G269">
        <v>181.09</v>
      </c>
      <c r="H269" s="102">
        <f t="shared" si="22"/>
        <v>-5.912609757364784E-2</v>
      </c>
      <c r="J269" s="346">
        <v>43891</v>
      </c>
      <c r="K269">
        <v>161.57</v>
      </c>
      <c r="L269" s="102">
        <f t="shared" si="23"/>
        <v>-2.7158817356953691E-3</v>
      </c>
      <c r="N269" s="346">
        <v>43891</v>
      </c>
      <c r="O269">
        <v>72.260000000000005</v>
      </c>
      <c r="P269" s="102">
        <f t="shared" si="24"/>
        <v>5.7360257535850279E-2</v>
      </c>
      <c r="R269" s="346">
        <v>43891</v>
      </c>
      <c r="S269">
        <v>122</v>
      </c>
      <c r="T269" s="102">
        <f t="shared" si="25"/>
        <v>-1.8582575818518188E-2</v>
      </c>
      <c r="V269" s="346">
        <v>43891</v>
      </c>
      <c r="W269">
        <v>95.05</v>
      </c>
      <c r="X269" s="102">
        <f t="shared" si="26"/>
        <v>9.1304809427752431E-3</v>
      </c>
      <c r="Z269" s="346">
        <v>43891</v>
      </c>
      <c r="AA269" s="348">
        <v>2964</v>
      </c>
      <c r="AB269" s="102">
        <f t="shared" si="27"/>
        <v>4.405286343612369E-3</v>
      </c>
    </row>
    <row r="270" spans="2:28" x14ac:dyDescent="0.25">
      <c r="B270" s="346">
        <v>43884</v>
      </c>
      <c r="C270">
        <v>66.97</v>
      </c>
      <c r="D270" s="102">
        <f t="shared" si="21"/>
        <v>-9.8168596821976872E-2</v>
      </c>
      <c r="F270" s="346">
        <v>43884</v>
      </c>
      <c r="G270">
        <v>192.47</v>
      </c>
      <c r="H270" s="102">
        <f t="shared" si="22"/>
        <v>-8.4261109525168965E-2</v>
      </c>
      <c r="J270" s="346">
        <v>43884</v>
      </c>
      <c r="K270">
        <v>162.01</v>
      </c>
      <c r="L270" s="102">
        <f t="shared" si="23"/>
        <v>-9.2838344812139595E-2</v>
      </c>
      <c r="N270" s="346">
        <v>43884</v>
      </c>
      <c r="O270">
        <v>68.34</v>
      </c>
      <c r="P270" s="102">
        <f t="shared" si="24"/>
        <v>-0.12675696396626634</v>
      </c>
      <c r="R270" s="346">
        <v>43884</v>
      </c>
      <c r="S270">
        <v>124.31</v>
      </c>
      <c r="T270" s="102">
        <f t="shared" si="25"/>
        <v>-0.13142817216321967</v>
      </c>
      <c r="V270" s="346">
        <v>43884</v>
      </c>
      <c r="W270">
        <v>94.19</v>
      </c>
      <c r="X270" s="102">
        <f t="shared" si="26"/>
        <v>-0.10124045801526715</v>
      </c>
      <c r="Z270" s="346">
        <v>43884</v>
      </c>
      <c r="AA270" s="348">
        <v>2951</v>
      </c>
      <c r="AB270" s="102">
        <f t="shared" si="27"/>
        <v>-0.11626862319383091</v>
      </c>
    </row>
    <row r="271" spans="2:28" x14ac:dyDescent="0.25">
      <c r="B271" s="346">
        <v>43877</v>
      </c>
      <c r="C271">
        <v>74.260000000000005</v>
      </c>
      <c r="D271" s="102">
        <f t="shared" si="21"/>
        <v>-2.3408732246186226E-2</v>
      </c>
      <c r="F271" s="346">
        <v>43877</v>
      </c>
      <c r="G271">
        <v>210.18</v>
      </c>
      <c r="H271" s="102">
        <f t="shared" si="22"/>
        <v>-1.8675880100849751E-2</v>
      </c>
      <c r="J271" s="346">
        <v>43877</v>
      </c>
      <c r="K271">
        <v>178.59</v>
      </c>
      <c r="L271" s="102">
        <f t="shared" si="23"/>
        <v>-3.6471540329107044E-2</v>
      </c>
      <c r="N271" s="346">
        <v>43877</v>
      </c>
      <c r="O271">
        <v>78.260000000000005</v>
      </c>
      <c r="P271" s="102">
        <f t="shared" si="24"/>
        <v>-3.6681437715410992E-2</v>
      </c>
      <c r="R271" s="346">
        <v>43877</v>
      </c>
      <c r="S271">
        <v>143.12</v>
      </c>
      <c r="T271" s="102">
        <f t="shared" si="25"/>
        <v>-5.6968181186605182E-3</v>
      </c>
      <c r="V271" s="346">
        <v>43877</v>
      </c>
      <c r="W271">
        <v>104.8</v>
      </c>
      <c r="X271" s="102">
        <f t="shared" si="26"/>
        <v>-1.8175004684279572E-2</v>
      </c>
      <c r="Z271" s="346">
        <v>43877</v>
      </c>
      <c r="AA271" s="348">
        <v>3339.25</v>
      </c>
      <c r="AB271" s="102">
        <f t="shared" si="27"/>
        <v>-1.2348417627920716E-2</v>
      </c>
    </row>
    <row r="272" spans="2:28" x14ac:dyDescent="0.25">
      <c r="B272" s="346">
        <v>43870</v>
      </c>
      <c r="C272">
        <v>76.040000000000006</v>
      </c>
      <c r="D272" s="102">
        <f t="shared" ref="D272:D275" si="28">C272/C273-1</f>
        <v>2.8123309897241988E-2</v>
      </c>
      <c r="F272" s="346">
        <v>43870</v>
      </c>
      <c r="G272">
        <v>214.18</v>
      </c>
      <c r="H272" s="102">
        <f t="shared" ref="H272:H275" si="29">G272/G273-1</f>
        <v>8.7128526350492841E-3</v>
      </c>
      <c r="J272" s="346">
        <v>43870</v>
      </c>
      <c r="K272">
        <v>185.35</v>
      </c>
      <c r="L272" s="102">
        <f t="shared" ref="L272:L275" si="30">K272/K273-1</f>
        <v>7.9395290662895857E-3</v>
      </c>
      <c r="N272" s="346">
        <v>43870</v>
      </c>
      <c r="O272">
        <v>81.239999999999995</v>
      </c>
      <c r="P272" s="102">
        <f t="shared" ref="P272:P275" si="31">O272/O273-1</f>
        <v>1.5373078365204185E-2</v>
      </c>
      <c r="R272" s="346">
        <v>43870</v>
      </c>
      <c r="S272">
        <v>143.94</v>
      </c>
      <c r="T272" s="102">
        <f t="shared" ref="T272:T275" si="32">S272/S273-1</f>
        <v>-1.7675561318501343E-2</v>
      </c>
      <c r="V272" s="346">
        <v>43870</v>
      </c>
      <c r="W272">
        <v>106.74</v>
      </c>
      <c r="X272" s="102">
        <f t="shared" ref="X272:X275" si="33">W272/W273-1</f>
        <v>2.674105425163531E-2</v>
      </c>
      <c r="Z272" s="346">
        <v>43870</v>
      </c>
      <c r="AA272" s="348">
        <v>3381</v>
      </c>
      <c r="AB272" s="102">
        <f t="shared" ref="AB272:AB275" si="34">AA272/AA273-1</f>
        <v>1.6689219666215616E-2</v>
      </c>
    </row>
    <row r="273" spans="2:28" x14ac:dyDescent="0.25">
      <c r="B273" s="346">
        <v>43863</v>
      </c>
      <c r="C273">
        <v>73.959999999999994</v>
      </c>
      <c r="D273" s="102">
        <f t="shared" si="28"/>
        <v>3.1376377074327166E-2</v>
      </c>
      <c r="F273" s="346">
        <v>43863</v>
      </c>
      <c r="G273">
        <v>212.33</v>
      </c>
      <c r="H273" s="102">
        <f t="shared" si="29"/>
        <v>5.1607151701253073E-2</v>
      </c>
      <c r="J273" s="346">
        <v>43863</v>
      </c>
      <c r="K273">
        <v>183.89</v>
      </c>
      <c r="L273" s="102">
        <f t="shared" si="30"/>
        <v>8.0244375257005229E-2</v>
      </c>
      <c r="N273" s="346">
        <v>43863</v>
      </c>
      <c r="O273">
        <v>80.010000000000005</v>
      </c>
      <c r="P273" s="102">
        <f t="shared" si="31"/>
        <v>3.3988110622900081E-2</v>
      </c>
      <c r="R273" s="346">
        <v>43863</v>
      </c>
      <c r="S273">
        <v>146.53</v>
      </c>
      <c r="T273" s="102">
        <f t="shared" si="32"/>
        <v>6.7302789715201428E-2</v>
      </c>
      <c r="V273" s="346">
        <v>43863</v>
      </c>
      <c r="W273">
        <v>103.96</v>
      </c>
      <c r="X273" s="102">
        <f t="shared" si="33"/>
        <v>3.5045798486658564E-2</v>
      </c>
      <c r="Z273" s="346">
        <v>43863</v>
      </c>
      <c r="AA273" s="348">
        <v>3325.5</v>
      </c>
      <c r="AB273" s="102">
        <f t="shared" si="34"/>
        <v>3.1482630272952949E-2</v>
      </c>
    </row>
    <row r="274" spans="2:28" x14ac:dyDescent="0.25">
      <c r="B274" s="346">
        <v>43856</v>
      </c>
      <c r="C274">
        <v>71.709999999999994</v>
      </c>
      <c r="D274" s="102">
        <f t="shared" si="28"/>
        <v>-2.2225252249795657E-2</v>
      </c>
      <c r="F274" s="346">
        <v>43856</v>
      </c>
      <c r="G274">
        <v>201.91</v>
      </c>
      <c r="H274" s="102">
        <f t="shared" si="29"/>
        <v>-7.3552353858860275E-2</v>
      </c>
      <c r="J274" s="346">
        <v>43856</v>
      </c>
      <c r="K274">
        <v>170.23</v>
      </c>
      <c r="L274" s="102">
        <f t="shared" si="30"/>
        <v>3.1446921958313112E-2</v>
      </c>
      <c r="N274" s="346">
        <v>43856</v>
      </c>
      <c r="O274">
        <v>77.38</v>
      </c>
      <c r="P274" s="102">
        <f t="shared" si="31"/>
        <v>-2.7645136969087769E-2</v>
      </c>
      <c r="R274" s="346">
        <v>43856</v>
      </c>
      <c r="S274">
        <v>137.29</v>
      </c>
      <c r="T274" s="102">
        <f t="shared" si="32"/>
        <v>2.2568151348130394E-2</v>
      </c>
      <c r="V274" s="346">
        <v>43856</v>
      </c>
      <c r="W274">
        <v>100.44</v>
      </c>
      <c r="X274" s="102">
        <f t="shared" si="33"/>
        <v>7.9071766222604145E-2</v>
      </c>
      <c r="Z274" s="346">
        <v>43856</v>
      </c>
      <c r="AA274" s="348">
        <v>3224</v>
      </c>
      <c r="AB274" s="102">
        <f t="shared" si="34"/>
        <v>-2.1102170942766008E-2</v>
      </c>
    </row>
    <row r="275" spans="2:28" x14ac:dyDescent="0.25">
      <c r="B275" s="346">
        <v>43849</v>
      </c>
      <c r="C275">
        <v>73.34</v>
      </c>
      <c r="D275" s="102" t="e">
        <f t="shared" si="28"/>
        <v>#DIV/0!</v>
      </c>
      <c r="F275" s="346">
        <v>43849</v>
      </c>
      <c r="G275">
        <v>217.94</v>
      </c>
      <c r="H275" s="102" t="e">
        <f t="shared" si="29"/>
        <v>#DIV/0!</v>
      </c>
      <c r="J275" s="346">
        <v>43849</v>
      </c>
      <c r="K275">
        <v>165.04</v>
      </c>
      <c r="L275" s="102" t="e">
        <f t="shared" si="30"/>
        <v>#DIV/0!</v>
      </c>
      <c r="N275" s="346">
        <v>43849</v>
      </c>
      <c r="O275">
        <v>79.58</v>
      </c>
      <c r="P275" s="102" t="e">
        <f t="shared" si="31"/>
        <v>#DIV/0!</v>
      </c>
      <c r="R275" s="346">
        <v>43849</v>
      </c>
      <c r="S275">
        <v>134.26</v>
      </c>
      <c r="T275" s="102" t="e">
        <f t="shared" si="32"/>
        <v>#DIV/0!</v>
      </c>
      <c r="V275" s="346">
        <v>43849</v>
      </c>
      <c r="W275">
        <v>93.08</v>
      </c>
      <c r="X275" s="102" t="e">
        <f t="shared" si="33"/>
        <v>#DIV/0!</v>
      </c>
      <c r="Z275" s="346">
        <v>43849</v>
      </c>
      <c r="AA275" s="348">
        <v>3293.5</v>
      </c>
      <c r="AB275" s="102" t="e">
        <f t="shared" si="34"/>
        <v>#DIV/0!</v>
      </c>
    </row>
    <row r="276" spans="2:28" x14ac:dyDescent="0.25">
      <c r="B276" s="346"/>
    </row>
  </sheetData>
  <mergeCells count="10">
    <mergeCell ref="N13:P13"/>
    <mergeCell ref="R13:T13"/>
    <mergeCell ref="V13:X13"/>
    <mergeCell ref="Z13:AB13"/>
    <mergeCell ref="A1:D1"/>
    <mergeCell ref="A2:D2"/>
    <mergeCell ref="A3:E3"/>
    <mergeCell ref="B13:D13"/>
    <mergeCell ref="F13:H13"/>
    <mergeCell ref="J13:L13"/>
  </mergeCells>
  <hyperlinks>
    <hyperlink ref="B7" r:id="rId1" display="https://www.globaldata.com/company-profile/facebook-inc/" xr:uid="{FFB2BD23-2F96-41B5-B44A-70C49D9ABBF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E1CB-2624-4912-991E-EB5AE867BCBB}">
  <dimension ref="A1:G13"/>
  <sheetViews>
    <sheetView workbookViewId="0">
      <selection activeCell="P10" sqref="P10"/>
    </sheetView>
  </sheetViews>
  <sheetFormatPr defaultRowHeight="15" x14ac:dyDescent="0.25"/>
  <cols>
    <col min="3" max="3" width="21.85546875" bestFit="1" customWidth="1"/>
    <col min="4" max="4" width="6.85546875" bestFit="1" customWidth="1"/>
    <col min="5" max="5" width="10.85546875" bestFit="1" customWidth="1"/>
    <col min="6" max="6" width="7.28515625" bestFit="1" customWidth="1"/>
  </cols>
  <sheetData>
    <row r="1" spans="1:7" ht="18.75" x14ac:dyDescent="0.25">
      <c r="A1" s="764" t="s">
        <v>156</v>
      </c>
      <c r="B1" s="764"/>
      <c r="C1" s="764"/>
      <c r="D1" s="764"/>
    </row>
    <row r="2" spans="1:7" ht="16.5" thickBot="1" x14ac:dyDescent="0.3">
      <c r="A2" s="765" t="s">
        <v>14</v>
      </c>
      <c r="B2" s="765"/>
      <c r="C2" s="765"/>
      <c r="D2" s="765"/>
    </row>
    <row r="3" spans="1:7" ht="24" thickBot="1" x14ac:dyDescent="0.3">
      <c r="A3" s="772" t="s">
        <v>303</v>
      </c>
      <c r="B3" s="773"/>
      <c r="C3" s="773"/>
      <c r="D3" s="773"/>
      <c r="E3" s="774"/>
    </row>
    <row r="4" spans="1:7" ht="23.25" x14ac:dyDescent="0.25">
      <c r="A4" s="582"/>
      <c r="B4" s="582"/>
      <c r="C4" s="582"/>
      <c r="D4" s="582"/>
      <c r="E4" s="582"/>
    </row>
    <row r="5" spans="1:7" ht="24" thickBot="1" x14ac:dyDescent="0.3">
      <c r="A5" s="582"/>
      <c r="B5" s="582"/>
      <c r="C5" s="582"/>
      <c r="D5" s="582"/>
      <c r="E5" s="582"/>
    </row>
    <row r="6" spans="1:7" ht="15.75" thickBot="1" x14ac:dyDescent="0.3">
      <c r="C6" s="583" t="s">
        <v>304</v>
      </c>
      <c r="D6" s="584" t="s">
        <v>305</v>
      </c>
      <c r="E6" s="584" t="s">
        <v>306</v>
      </c>
      <c r="F6" s="585" t="s">
        <v>307</v>
      </c>
    </row>
    <row r="7" spans="1:7" ht="15.75" customHeight="1" x14ac:dyDescent="0.25">
      <c r="C7" s="586" t="s">
        <v>308</v>
      </c>
      <c r="D7" s="587">
        <f>DCF!D39</f>
        <v>505.6861761198997</v>
      </c>
      <c r="E7" s="588">
        <f>F7-D7</f>
        <v>29.695341418029955</v>
      </c>
      <c r="F7" s="589">
        <f>DCF!D55</f>
        <v>535.38151753792965</v>
      </c>
    </row>
    <row r="8" spans="1:7" ht="15.75" customHeight="1" x14ac:dyDescent="0.25">
      <c r="C8" s="590" t="str">
        <f>'[2]Input Sheet'!A9</f>
        <v>CCA</v>
      </c>
      <c r="D8" s="591">
        <f>'Comparable Company Analysis '!T31</f>
        <v>714.32203944877949</v>
      </c>
      <c r="E8" s="592">
        <f t="shared" ref="E8:E12" si="0">F8-D8</f>
        <v>-95.863483862931389</v>
      </c>
      <c r="F8" s="593">
        <f>'Comparable Company Analysis '!Q31</f>
        <v>618.4585555858481</v>
      </c>
    </row>
    <row r="9" spans="1:7" ht="15.75" customHeight="1" x14ac:dyDescent="0.25">
      <c r="C9" s="590" t="str">
        <f>'[2]Input Sheet'!A17</f>
        <v>Market Consensus</v>
      </c>
      <c r="D9" s="591">
        <v>184</v>
      </c>
      <c r="E9" s="594">
        <f t="shared" si="0"/>
        <v>56</v>
      </c>
      <c r="F9" s="593">
        <v>240</v>
      </c>
    </row>
    <row r="10" spans="1:7" ht="15.75" customHeight="1" x14ac:dyDescent="0.25">
      <c r="C10" s="590" t="str">
        <f>'[2]Input Sheet'!A19</f>
        <v>52 week range</v>
      </c>
      <c r="D10" s="591">
        <v>147.22</v>
      </c>
      <c r="E10" s="592">
        <f t="shared" si="0"/>
        <v>59.830000000000013</v>
      </c>
      <c r="F10" s="593">
        <v>207.05</v>
      </c>
    </row>
    <row r="11" spans="1:7" ht="15.75" customHeight="1" x14ac:dyDescent="0.25">
      <c r="C11" s="590" t="s">
        <v>309</v>
      </c>
      <c r="D11" s="595">
        <v>167</v>
      </c>
      <c r="E11" s="596">
        <f t="shared" si="0"/>
        <v>0</v>
      </c>
      <c r="F11" s="593">
        <v>167</v>
      </c>
    </row>
    <row r="12" spans="1:7" ht="15.75" thickBot="1" x14ac:dyDescent="0.3">
      <c r="C12" s="597" t="s">
        <v>310</v>
      </c>
      <c r="D12" s="598">
        <f>MIN(D7:D11)</f>
        <v>147.22</v>
      </c>
      <c r="E12" s="599">
        <f t="shared" si="0"/>
        <v>471.23855558584808</v>
      </c>
      <c r="F12" s="600">
        <f>MAX(F7:F11)</f>
        <v>618.4585555858481</v>
      </c>
      <c r="G12" s="6"/>
    </row>
    <row r="13" spans="1:7" ht="15.75" customHeight="1" x14ac:dyDescent="0.25"/>
  </sheetData>
  <mergeCells count="3">
    <mergeCell ref="A1:D1"/>
    <mergeCell ref="A2:D2"/>
    <mergeCell ref="A3:E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EFA1-B751-4E2E-93A4-FC47C30774B8}">
  <dimension ref="A1:M44"/>
  <sheetViews>
    <sheetView workbookViewId="0">
      <selection activeCell="A7" sqref="A7"/>
    </sheetView>
  </sheetViews>
  <sheetFormatPr defaultRowHeight="15" x14ac:dyDescent="0.25"/>
  <cols>
    <col min="1" max="1" width="26.42578125" customWidth="1"/>
    <col min="2" max="2" width="20.5703125" customWidth="1"/>
    <col min="3" max="3" width="14.7109375" customWidth="1"/>
    <col min="4" max="4" width="14.28515625" customWidth="1"/>
    <col min="5" max="5" width="15" customWidth="1"/>
    <col min="6" max="6" width="15.140625" customWidth="1"/>
    <col min="8" max="8" width="15.5703125" customWidth="1"/>
    <col min="9" max="9" width="12.7109375" customWidth="1"/>
    <col min="10" max="10" width="14.140625" customWidth="1"/>
    <col min="11" max="11" width="12.5703125" customWidth="1"/>
    <col min="12" max="12" width="12.85546875" customWidth="1"/>
    <col min="13" max="13" width="12.140625" customWidth="1"/>
  </cols>
  <sheetData>
    <row r="1" spans="1:13" ht="16.5" thickBot="1" x14ac:dyDescent="0.3">
      <c r="A1" s="775" t="s">
        <v>311</v>
      </c>
      <c r="B1" s="776"/>
      <c r="C1" s="776"/>
      <c r="D1" s="776"/>
      <c r="E1" s="776"/>
      <c r="F1" s="777"/>
    </row>
    <row r="2" spans="1:13" ht="15.75" thickBot="1" x14ac:dyDescent="0.3">
      <c r="A2" s="604"/>
    </row>
    <row r="3" spans="1:13" ht="15.75" x14ac:dyDescent="0.25">
      <c r="A3" s="778" t="s">
        <v>312</v>
      </c>
      <c r="B3" s="779"/>
      <c r="C3" s="779"/>
      <c r="D3" s="779"/>
      <c r="E3" s="779"/>
      <c r="F3" s="780"/>
    </row>
    <row r="4" spans="1:13" ht="15.75" thickBot="1" x14ac:dyDescent="0.3">
      <c r="A4" s="605"/>
      <c r="B4" s="606">
        <v>44196</v>
      </c>
      <c r="C4" s="606">
        <v>44561</v>
      </c>
      <c r="D4" s="606">
        <v>44926</v>
      </c>
      <c r="E4" s="606">
        <v>45291</v>
      </c>
      <c r="F4" s="607">
        <v>45657</v>
      </c>
      <c r="I4" s="606">
        <v>44196</v>
      </c>
      <c r="J4" s="606">
        <v>44561</v>
      </c>
      <c r="K4" s="606">
        <v>44926</v>
      </c>
      <c r="L4" s="606">
        <v>45291</v>
      </c>
      <c r="M4" s="607">
        <v>45657</v>
      </c>
    </row>
    <row r="5" spans="1:13" x14ac:dyDescent="0.25">
      <c r="A5" s="608" t="s">
        <v>313</v>
      </c>
      <c r="B5" s="609">
        <f>'Alphabet-IS'!B33</f>
        <v>40269</v>
      </c>
      <c r="C5" s="609">
        <f>'Alphabet-IS'!C33</f>
        <v>76033</v>
      </c>
      <c r="D5" s="609">
        <f>'Alphabet-IS'!D33</f>
        <v>59972</v>
      </c>
      <c r="E5" s="609">
        <f>'Alphabet-IS'!E33</f>
        <v>73795</v>
      </c>
      <c r="F5" s="609">
        <f>'Alphabet-IS'!F33</f>
        <v>100118</v>
      </c>
      <c r="H5" t="s">
        <v>314</v>
      </c>
      <c r="I5" s="649">
        <f>B23</f>
        <v>0.16949338024997423</v>
      </c>
      <c r="J5" s="649">
        <f t="shared" ref="J5:M5" si="0">C7</f>
        <v>0.29412868347501475</v>
      </c>
      <c r="K5" s="649">
        <f t="shared" si="0"/>
        <v>0.21747581265139757</v>
      </c>
      <c r="L5" s="649">
        <f t="shared" si="0"/>
        <v>0.23894829721612848</v>
      </c>
      <c r="M5" s="649">
        <f t="shared" si="0"/>
        <v>0.2573669795829901</v>
      </c>
    </row>
    <row r="6" spans="1:13" x14ac:dyDescent="0.25">
      <c r="A6" s="608" t="s">
        <v>315</v>
      </c>
      <c r="B6" s="609">
        <f>(('Alphabet-BS'!B41+'Alphabet-BS'!B43)+('Alphabet-BS'!C41+'Alphabet-BS'!C43))/2</f>
        <v>237584.5</v>
      </c>
      <c r="C6" s="609">
        <f>(('Alphabet-BS'!C41+'Alphabet-BS'!C43)+('Alphabet-BS'!D41+'Alphabet-BS'!D43))/2</f>
        <v>258502.5</v>
      </c>
      <c r="D6" s="609">
        <f>(('Alphabet-BS'!D41+'Alphabet-BS'!D43)+('Alphabet-BS'!E41+'Alphabet-BS'!E43))/2</f>
        <v>275764</v>
      </c>
      <c r="E6" s="609">
        <f>(('Alphabet-BS'!E41+'Alphabet-BS'!E43)+('Alphabet-BS'!F41+'Alphabet-BS'!F43))/2</f>
        <v>308832.5</v>
      </c>
      <c r="F6" s="609">
        <f>(('Alphabet-BS'!F41+'Alphabet-BS'!F43)+('Alphabet-BS'!G41+'Alphabet-BS'!G43))/2</f>
        <v>389008.72272822447</v>
      </c>
    </row>
    <row r="7" spans="1:13" ht="15.75" thickBot="1" x14ac:dyDescent="0.3">
      <c r="A7" s="611" t="s">
        <v>314</v>
      </c>
      <c r="B7" s="612">
        <f>B5/B6</f>
        <v>0.16949338024997421</v>
      </c>
      <c r="C7" s="612">
        <f>C5/C6</f>
        <v>0.29412868347501475</v>
      </c>
      <c r="D7" s="612">
        <f t="shared" ref="D7:F7" si="1">D5/D6</f>
        <v>0.21747581265139757</v>
      </c>
      <c r="E7" s="612">
        <f t="shared" si="1"/>
        <v>0.23894829721612848</v>
      </c>
      <c r="F7" s="613">
        <f t="shared" si="1"/>
        <v>0.2573669795829901</v>
      </c>
      <c r="G7" s="614"/>
      <c r="H7" s="614"/>
      <c r="I7" s="614"/>
      <c r="J7" s="614"/>
      <c r="K7" s="614"/>
      <c r="L7" s="614"/>
      <c r="M7" s="614"/>
    </row>
    <row r="8" spans="1:13" ht="15.75" thickBot="1" x14ac:dyDescent="0.3">
      <c r="A8" s="615"/>
      <c r="B8" s="615"/>
      <c r="C8" s="615"/>
      <c r="D8" s="615"/>
      <c r="E8" s="615"/>
      <c r="F8" s="615"/>
    </row>
    <row r="9" spans="1:13" ht="15.75" x14ac:dyDescent="0.25">
      <c r="A9" s="778" t="s">
        <v>316</v>
      </c>
      <c r="B9" s="779"/>
      <c r="C9" s="779"/>
      <c r="D9" s="779"/>
      <c r="E9" s="779"/>
      <c r="F9" s="780"/>
    </row>
    <row r="10" spans="1:13" ht="15.75" thickBot="1" x14ac:dyDescent="0.3">
      <c r="A10" s="605"/>
      <c r="B10" s="606">
        <v>44196</v>
      </c>
      <c r="C10" s="606">
        <v>44561</v>
      </c>
      <c r="D10" s="606">
        <v>44926</v>
      </c>
      <c r="E10" s="606">
        <v>45291</v>
      </c>
      <c r="F10" s="607">
        <v>45657</v>
      </c>
    </row>
    <row r="11" spans="1:13" x14ac:dyDescent="0.25">
      <c r="A11" s="608" t="str">
        <f>A5</f>
        <v>Net Profit</v>
      </c>
      <c r="B11" s="609">
        <f>B5</f>
        <v>40269</v>
      </c>
      <c r="C11" s="609">
        <f t="shared" ref="C11:F11" si="2">C5</f>
        <v>76033</v>
      </c>
      <c r="D11" s="609">
        <f t="shared" si="2"/>
        <v>59972</v>
      </c>
      <c r="E11" s="609">
        <f t="shared" si="2"/>
        <v>73795</v>
      </c>
      <c r="F11" s="610">
        <f t="shared" si="2"/>
        <v>100118</v>
      </c>
    </row>
    <row r="12" spans="1:13" x14ac:dyDescent="0.25">
      <c r="A12" s="608" t="s">
        <v>279</v>
      </c>
      <c r="B12" s="609">
        <f>'Alphabet-IS'!B7</f>
        <v>182527</v>
      </c>
      <c r="C12" s="609">
        <f>'Alphabet-IS'!C7</f>
        <v>257637</v>
      </c>
      <c r="D12" s="609">
        <f>'Alphabet-IS'!D7</f>
        <v>282836</v>
      </c>
      <c r="E12" s="609">
        <f>'Alphabet-IS'!E7</f>
        <v>307394</v>
      </c>
      <c r="F12" s="609">
        <f>'Alphabet-IS'!F7</f>
        <v>350018</v>
      </c>
    </row>
    <row r="13" spans="1:13" x14ac:dyDescent="0.25">
      <c r="A13" s="616" t="s">
        <v>317</v>
      </c>
      <c r="B13" s="617">
        <f>B11/B12</f>
        <v>0.22061941520980458</v>
      </c>
      <c r="C13" s="617">
        <f t="shared" ref="C13:F13" si="3">C11/C12</f>
        <v>0.29511677282377918</v>
      </c>
      <c r="D13" s="617">
        <f t="shared" si="3"/>
        <v>0.21203807153261961</v>
      </c>
      <c r="E13" s="617">
        <f t="shared" si="3"/>
        <v>0.24006649446638517</v>
      </c>
      <c r="F13" s="618">
        <f t="shared" si="3"/>
        <v>0.28603671811164</v>
      </c>
      <c r="G13" s="614"/>
    </row>
    <row r="14" spans="1:13" x14ac:dyDescent="0.25">
      <c r="A14" s="619"/>
      <c r="B14" s="620"/>
      <c r="C14" s="620"/>
      <c r="D14" s="620"/>
      <c r="E14" s="620"/>
      <c r="F14" s="621"/>
    </row>
    <row r="15" spans="1:13" x14ac:dyDescent="0.25">
      <c r="A15" s="622" t="s">
        <v>279</v>
      </c>
      <c r="B15" s="623">
        <f>B12</f>
        <v>182527</v>
      </c>
      <c r="C15" s="623">
        <f>C12</f>
        <v>257637</v>
      </c>
      <c r="D15" s="623">
        <f t="shared" ref="D15:F15" si="4">D12</f>
        <v>282836</v>
      </c>
      <c r="E15" s="623">
        <f t="shared" si="4"/>
        <v>307394</v>
      </c>
      <c r="F15" s="624">
        <f t="shared" si="4"/>
        <v>350018</v>
      </c>
    </row>
    <row r="16" spans="1:13" x14ac:dyDescent="0.25">
      <c r="A16" s="608" t="s">
        <v>318</v>
      </c>
      <c r="B16" s="625">
        <f>('Alphabet-BS'!B20+275909)/2</f>
        <v>297762.5</v>
      </c>
      <c r="C16" s="625">
        <f>('Alphabet-BS'!B20+'Alphabet-BS'!C20)/2</f>
        <v>339442</v>
      </c>
      <c r="D16" s="625">
        <f>('Alphabet-BS'!C20+'Alphabet-BS'!D20)/2</f>
        <v>362266</v>
      </c>
      <c r="E16" s="625">
        <f>('Alphabet-BS'!D20+'Alphabet-BS'!E20)/2</f>
        <v>383828</v>
      </c>
      <c r="F16" s="625">
        <f>('Alphabet-BS'!E20+'Alphabet-BS'!F20)/2</f>
        <v>426324</v>
      </c>
    </row>
    <row r="17" spans="1:13" x14ac:dyDescent="0.25">
      <c r="A17" s="627" t="s">
        <v>319</v>
      </c>
      <c r="B17" s="628">
        <f>B15/B16</f>
        <v>0.61299525628646989</v>
      </c>
      <c r="C17" s="628">
        <f>C15/C16</f>
        <v>0.75900153781794832</v>
      </c>
      <c r="D17" s="628">
        <f t="shared" ref="D17:F17" si="5">D15/D16</f>
        <v>0.78074122330000606</v>
      </c>
      <c r="E17" s="628">
        <f t="shared" si="5"/>
        <v>0.80086392863470091</v>
      </c>
      <c r="F17" s="629">
        <f t="shared" si="5"/>
        <v>0.82101406442048774</v>
      </c>
      <c r="G17" s="614"/>
    </row>
    <row r="18" spans="1:13" x14ac:dyDescent="0.25">
      <c r="A18" s="630"/>
      <c r="B18" s="620"/>
      <c r="C18" s="620"/>
      <c r="D18" s="620"/>
      <c r="E18" s="620"/>
      <c r="F18" s="631"/>
    </row>
    <row r="19" spans="1:13" x14ac:dyDescent="0.25">
      <c r="A19" s="608" t="str">
        <f>A16</f>
        <v>Average Total Asset</v>
      </c>
      <c r="B19" s="623">
        <f>B16</f>
        <v>297762.5</v>
      </c>
      <c r="C19" s="623">
        <f>C16</f>
        <v>339442</v>
      </c>
      <c r="D19" s="623">
        <f t="shared" ref="D19:F19" si="6">D16</f>
        <v>362266</v>
      </c>
      <c r="E19" s="623">
        <f t="shared" si="6"/>
        <v>383828</v>
      </c>
      <c r="F19" s="626">
        <f t="shared" si="6"/>
        <v>426324</v>
      </c>
    </row>
    <row r="20" spans="1:13" x14ac:dyDescent="0.25">
      <c r="A20" s="608" t="str">
        <f>A6</f>
        <v>Average Shareholder Equity</v>
      </c>
      <c r="B20" s="625">
        <f>B6</f>
        <v>237584.5</v>
      </c>
      <c r="C20" s="625">
        <f t="shared" ref="C20:F20" si="7">C6</f>
        <v>258502.5</v>
      </c>
      <c r="D20" s="625">
        <f t="shared" si="7"/>
        <v>275764</v>
      </c>
      <c r="E20" s="625">
        <f t="shared" si="7"/>
        <v>308832.5</v>
      </c>
      <c r="F20" s="626">
        <f t="shared" si="7"/>
        <v>389008.72272822447</v>
      </c>
    </row>
    <row r="21" spans="1:13" x14ac:dyDescent="0.25">
      <c r="A21" s="627" t="s">
        <v>320</v>
      </c>
      <c r="B21" s="632">
        <f>B19/B20</f>
        <v>1.2532909343833458</v>
      </c>
      <c r="C21" s="632">
        <f t="shared" ref="C21:F21" si="8">C19/C20</f>
        <v>1.3131091575516678</v>
      </c>
      <c r="D21" s="632">
        <f t="shared" si="8"/>
        <v>1.3136812636892414</v>
      </c>
      <c r="E21" s="632">
        <f t="shared" si="8"/>
        <v>1.2428355176349639</v>
      </c>
      <c r="F21" s="633">
        <f t="shared" si="8"/>
        <v>1.0959240117035765</v>
      </c>
      <c r="G21" s="614"/>
    </row>
    <row r="22" spans="1:13" x14ac:dyDescent="0.25">
      <c r="A22" s="630"/>
      <c r="B22" s="620"/>
      <c r="C22" s="620"/>
      <c r="D22" s="620"/>
      <c r="E22" s="620"/>
      <c r="F22" s="631"/>
    </row>
    <row r="23" spans="1:13" ht="15.75" thickBot="1" x14ac:dyDescent="0.3">
      <c r="A23" s="611" t="s">
        <v>321</v>
      </c>
      <c r="B23" s="634">
        <f>B21*B17*B13</f>
        <v>0.16949338024997423</v>
      </c>
      <c r="C23" s="634">
        <f>C21*C17*C13</f>
        <v>0.29412868347501475</v>
      </c>
      <c r="D23" s="634">
        <f t="shared" ref="D23:F23" si="9">D21*D17*D13</f>
        <v>0.21747581265139754</v>
      </c>
      <c r="E23" s="634">
        <f t="shared" si="9"/>
        <v>0.23894829721612845</v>
      </c>
      <c r="F23" s="635">
        <f t="shared" si="9"/>
        <v>0.25736697958299015</v>
      </c>
      <c r="G23" s="614"/>
    </row>
    <row r="24" spans="1:13" ht="15.75" thickBot="1" x14ac:dyDescent="0.3">
      <c r="A24" s="615"/>
      <c r="B24" s="615"/>
      <c r="C24" s="615"/>
      <c r="D24" s="615"/>
      <c r="E24" s="615"/>
      <c r="F24" s="615"/>
    </row>
    <row r="25" spans="1:13" ht="15.75" x14ac:dyDescent="0.25">
      <c r="A25" s="778" t="s">
        <v>322</v>
      </c>
      <c r="B25" s="779"/>
      <c r="C25" s="779"/>
      <c r="D25" s="779"/>
      <c r="E25" s="779"/>
      <c r="F25" s="780"/>
    </row>
    <row r="26" spans="1:13" ht="15.75" thickBot="1" x14ac:dyDescent="0.3">
      <c r="A26" s="605"/>
      <c r="B26" s="606">
        <v>44196</v>
      </c>
      <c r="C26" s="606">
        <v>44561</v>
      </c>
      <c r="D26" s="606">
        <v>44926</v>
      </c>
      <c r="E26" s="606">
        <v>45291</v>
      </c>
      <c r="F26" s="607">
        <v>45657</v>
      </c>
    </row>
    <row r="27" spans="1:13" x14ac:dyDescent="0.25">
      <c r="A27" s="608" t="s">
        <v>313</v>
      </c>
      <c r="B27" s="625">
        <f>B11</f>
        <v>40269</v>
      </c>
      <c r="C27" s="625">
        <f t="shared" ref="C27:F27" si="10">C11</f>
        <v>76033</v>
      </c>
      <c r="D27" s="625">
        <f t="shared" si="10"/>
        <v>59972</v>
      </c>
      <c r="E27" s="625">
        <f t="shared" si="10"/>
        <v>73795</v>
      </c>
      <c r="F27" s="626">
        <f t="shared" si="10"/>
        <v>100118</v>
      </c>
    </row>
    <row r="28" spans="1:13" ht="15.75" thickBot="1" x14ac:dyDescent="0.3">
      <c r="A28" s="608" t="str">
        <f>A19</f>
        <v>Average Total Asset</v>
      </c>
      <c r="B28" s="625">
        <f>B16</f>
        <v>297762.5</v>
      </c>
      <c r="C28" s="625">
        <f>C16</f>
        <v>339442</v>
      </c>
      <c r="D28" s="625">
        <f t="shared" ref="D28:F28" si="11">D16</f>
        <v>362266</v>
      </c>
      <c r="E28" s="625">
        <f t="shared" si="11"/>
        <v>383828</v>
      </c>
      <c r="F28" s="626">
        <f t="shared" si="11"/>
        <v>426324</v>
      </c>
      <c r="I28" s="606">
        <v>44196</v>
      </c>
      <c r="J28" s="606">
        <v>44561</v>
      </c>
      <c r="K28" s="606">
        <v>44926</v>
      </c>
      <c r="L28" s="606">
        <v>45291</v>
      </c>
      <c r="M28" s="607">
        <v>45657</v>
      </c>
    </row>
    <row r="29" spans="1:13" ht="15.75" thickBot="1" x14ac:dyDescent="0.3">
      <c r="A29" s="611" t="s">
        <v>323</v>
      </c>
      <c r="B29" s="636">
        <f t="shared" ref="B29:F29" si="12">B27/B28</f>
        <v>0.13523865496830528</v>
      </c>
      <c r="C29" s="636">
        <f t="shared" si="12"/>
        <v>0.2239940844091185</v>
      </c>
      <c r="D29" s="636">
        <f t="shared" si="12"/>
        <v>0.16554686335455163</v>
      </c>
      <c r="E29" s="636">
        <f t="shared" si="12"/>
        <v>0.19226059589190991</v>
      </c>
      <c r="F29" s="635">
        <f t="shared" si="12"/>
        <v>0.23484016851033487</v>
      </c>
      <c r="H29" t="s">
        <v>323</v>
      </c>
      <c r="I29" s="649">
        <f>B29</f>
        <v>0.13523865496830528</v>
      </c>
      <c r="J29" s="649">
        <f t="shared" ref="J29:M29" si="13">C29</f>
        <v>0.2239940844091185</v>
      </c>
      <c r="K29" s="649">
        <f t="shared" si="13"/>
        <v>0.16554686335455163</v>
      </c>
      <c r="L29" s="649">
        <f t="shared" si="13"/>
        <v>0.19226059589190991</v>
      </c>
      <c r="M29" s="649">
        <f t="shared" si="13"/>
        <v>0.23484016851033487</v>
      </c>
    </row>
    <row r="30" spans="1:13" ht="15.75" thickBot="1" x14ac:dyDescent="0.3">
      <c r="A30" s="615"/>
      <c r="B30" s="615"/>
      <c r="C30" s="615"/>
      <c r="D30" s="615"/>
      <c r="E30" s="615"/>
      <c r="F30" s="615"/>
    </row>
    <row r="31" spans="1:13" ht="15.75" x14ac:dyDescent="0.25">
      <c r="A31" s="778" t="s">
        <v>324</v>
      </c>
      <c r="B31" s="779"/>
      <c r="C31" s="779"/>
      <c r="D31" s="779"/>
      <c r="E31" s="779"/>
      <c r="F31" s="780"/>
    </row>
    <row r="32" spans="1:13" x14ac:dyDescent="0.25">
      <c r="A32" s="605"/>
    </row>
    <row r="33" spans="1:13" x14ac:dyDescent="0.25">
      <c r="A33" s="608" t="str">
        <f>A27</f>
        <v>Net Profit</v>
      </c>
      <c r="B33" s="625">
        <f>B27</f>
        <v>40269</v>
      </c>
      <c r="C33" s="625">
        <f>C27</f>
        <v>76033</v>
      </c>
      <c r="D33" s="625">
        <f t="shared" ref="D33:F33" si="14">D27</f>
        <v>59972</v>
      </c>
      <c r="E33" s="625">
        <f t="shared" si="14"/>
        <v>73795</v>
      </c>
      <c r="F33" s="626">
        <f t="shared" si="14"/>
        <v>100118</v>
      </c>
    </row>
    <row r="34" spans="1:13" x14ac:dyDescent="0.25">
      <c r="A34" s="608" t="s">
        <v>279</v>
      </c>
      <c r="B34" s="625">
        <f>B12</f>
        <v>182527</v>
      </c>
      <c r="C34" s="625">
        <f t="shared" ref="C34:F34" si="15">C12</f>
        <v>257637</v>
      </c>
      <c r="D34" s="625">
        <f t="shared" si="15"/>
        <v>282836</v>
      </c>
      <c r="E34" s="625">
        <f t="shared" si="15"/>
        <v>307394</v>
      </c>
      <c r="F34" s="626">
        <f t="shared" si="15"/>
        <v>350018</v>
      </c>
    </row>
    <row r="35" spans="1:13" x14ac:dyDescent="0.25">
      <c r="A35" s="627" t="s">
        <v>317</v>
      </c>
      <c r="B35" s="637">
        <f t="shared" ref="B35:F35" si="16">B33/B34</f>
        <v>0.22061941520980458</v>
      </c>
      <c r="C35" s="637">
        <f t="shared" si="16"/>
        <v>0.29511677282377918</v>
      </c>
      <c r="D35" s="637">
        <f t="shared" si="16"/>
        <v>0.21203807153261961</v>
      </c>
      <c r="E35" s="637">
        <f t="shared" si="16"/>
        <v>0.24006649446638517</v>
      </c>
      <c r="F35" s="638">
        <f t="shared" si="16"/>
        <v>0.28603671811164</v>
      </c>
      <c r="G35" s="614"/>
    </row>
    <row r="36" spans="1:13" x14ac:dyDescent="0.25">
      <c r="A36" s="608"/>
      <c r="B36" s="639"/>
      <c r="C36" s="639"/>
      <c r="D36" s="639"/>
      <c r="E36" s="639"/>
      <c r="F36" s="640"/>
    </row>
    <row r="37" spans="1:13" x14ac:dyDescent="0.25">
      <c r="A37" s="608" t="s">
        <v>279</v>
      </c>
      <c r="B37" s="625">
        <f>B34</f>
        <v>182527</v>
      </c>
      <c r="C37" s="625">
        <f>C34</f>
        <v>257637</v>
      </c>
      <c r="D37" s="625">
        <f t="shared" ref="D37:F37" si="17">D34</f>
        <v>282836</v>
      </c>
      <c r="E37" s="625">
        <f t="shared" si="17"/>
        <v>307394</v>
      </c>
      <c r="F37" s="626">
        <f t="shared" si="17"/>
        <v>350018</v>
      </c>
    </row>
    <row r="38" spans="1:13" x14ac:dyDescent="0.25">
      <c r="A38" s="608" t="s">
        <v>318</v>
      </c>
      <c r="B38" s="625">
        <f>B28</f>
        <v>297762.5</v>
      </c>
      <c r="C38" s="625">
        <f>C28</f>
        <v>339442</v>
      </c>
      <c r="D38" s="625">
        <f t="shared" ref="D38:F38" si="18">D28</f>
        <v>362266</v>
      </c>
      <c r="E38" s="625">
        <f t="shared" si="18"/>
        <v>383828</v>
      </c>
      <c r="F38" s="626">
        <f t="shared" si="18"/>
        <v>426324</v>
      </c>
    </row>
    <row r="39" spans="1:13" x14ac:dyDescent="0.25">
      <c r="A39" s="627" t="s">
        <v>319</v>
      </c>
      <c r="B39" s="641">
        <f t="shared" ref="B39:F39" si="19">B37/B38</f>
        <v>0.61299525628646989</v>
      </c>
      <c r="C39" s="641">
        <f t="shared" si="19"/>
        <v>0.75900153781794832</v>
      </c>
      <c r="D39" s="641">
        <f t="shared" si="19"/>
        <v>0.78074122330000606</v>
      </c>
      <c r="E39" s="641">
        <f t="shared" si="19"/>
        <v>0.80086392863470091</v>
      </c>
      <c r="F39" s="629">
        <f t="shared" si="19"/>
        <v>0.82101406442048774</v>
      </c>
      <c r="G39" s="614"/>
    </row>
    <row r="40" spans="1:13" x14ac:dyDescent="0.25">
      <c r="A40" s="642"/>
      <c r="B40" s="643"/>
      <c r="C40" s="643"/>
      <c r="D40" s="643"/>
      <c r="E40" s="643"/>
      <c r="F40" s="644"/>
    </row>
    <row r="41" spans="1:13" ht="15.75" thickBot="1" x14ac:dyDescent="0.3">
      <c r="A41" s="645" t="s">
        <v>325</v>
      </c>
      <c r="B41" s="646">
        <f t="shared" ref="B41:F41" si="20">B39*B35</f>
        <v>0.13523865496830528</v>
      </c>
      <c r="C41" s="646">
        <f t="shared" si="20"/>
        <v>0.2239940844091185</v>
      </c>
      <c r="D41" s="646">
        <f t="shared" si="20"/>
        <v>0.16554686335455163</v>
      </c>
      <c r="E41" s="646">
        <f t="shared" si="20"/>
        <v>0.19226059589190991</v>
      </c>
      <c r="F41" s="647">
        <f t="shared" si="20"/>
        <v>0.2348401685103349</v>
      </c>
    </row>
    <row r="43" spans="1:13" ht="15.75" thickBot="1" x14ac:dyDescent="0.3">
      <c r="B43" s="606">
        <v>44196</v>
      </c>
      <c r="C43" s="606">
        <v>44561</v>
      </c>
      <c r="D43" s="606">
        <v>44926</v>
      </c>
      <c r="E43" s="606">
        <v>45291</v>
      </c>
      <c r="F43" s="607">
        <v>45657</v>
      </c>
      <c r="I43" s="606">
        <v>44196</v>
      </c>
      <c r="J43" s="606">
        <v>44561</v>
      </c>
      <c r="K43" s="606">
        <v>44926</v>
      </c>
      <c r="L43" s="606">
        <v>45291</v>
      </c>
      <c r="M43" s="607">
        <v>45657</v>
      </c>
    </row>
    <row r="44" spans="1:13" x14ac:dyDescent="0.25">
      <c r="A44" t="s">
        <v>326</v>
      </c>
      <c r="B44" s="648">
        <f>B39</f>
        <v>0.61299525628646989</v>
      </c>
      <c r="C44" s="648">
        <f t="shared" ref="C44:F44" si="21">C39</f>
        <v>0.75900153781794832</v>
      </c>
      <c r="D44" s="648">
        <f t="shared" si="21"/>
        <v>0.78074122330000606</v>
      </c>
      <c r="E44" s="648">
        <f t="shared" si="21"/>
        <v>0.80086392863470091</v>
      </c>
      <c r="F44" s="648">
        <f t="shared" si="21"/>
        <v>0.82101406442048774</v>
      </c>
      <c r="H44" t="s">
        <v>327</v>
      </c>
      <c r="I44" s="294">
        <f>B21</f>
        <v>1.2532909343833458</v>
      </c>
      <c r="J44" s="294">
        <f t="shared" ref="J44:M44" si="22">C21</f>
        <v>1.3131091575516678</v>
      </c>
      <c r="K44" s="294">
        <f t="shared" si="22"/>
        <v>1.3136812636892414</v>
      </c>
      <c r="L44" s="294">
        <f t="shared" si="22"/>
        <v>1.2428355176349639</v>
      </c>
      <c r="M44" s="294">
        <f t="shared" si="22"/>
        <v>1.0959240117035765</v>
      </c>
    </row>
  </sheetData>
  <mergeCells count="5">
    <mergeCell ref="A1:F1"/>
    <mergeCell ref="A3:F3"/>
    <mergeCell ref="A9:F9"/>
    <mergeCell ref="A25:F25"/>
    <mergeCell ref="A31:F3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4A25-3183-4941-BE52-A0C9D6F0694A}">
  <dimension ref="A1:U31"/>
  <sheetViews>
    <sheetView workbookViewId="0">
      <selection sqref="A1:D1"/>
    </sheetView>
  </sheetViews>
  <sheetFormatPr defaultRowHeight="15" x14ac:dyDescent="0.25"/>
  <cols>
    <col min="1" max="1" width="9" customWidth="1"/>
    <col min="2" max="2" width="18.140625" customWidth="1"/>
    <col min="5" max="5" width="11.7109375" customWidth="1"/>
    <col min="6" max="6" width="10" bestFit="1" customWidth="1"/>
    <col min="12" max="12" width="10" bestFit="1" customWidth="1"/>
    <col min="17" max="17" width="10.85546875" customWidth="1"/>
    <col min="18" max="18" width="10.5703125" customWidth="1"/>
    <col min="19" max="20" width="10.28515625" customWidth="1"/>
  </cols>
  <sheetData>
    <row r="1" spans="1:21" ht="18.75" x14ac:dyDescent="0.25">
      <c r="A1" s="764" t="s">
        <v>156</v>
      </c>
      <c r="B1" s="764"/>
      <c r="C1" s="764"/>
      <c r="D1" s="764"/>
      <c r="E1" s="541"/>
      <c r="F1" s="541"/>
      <c r="G1" s="541"/>
      <c r="H1" s="541"/>
      <c r="I1" s="541"/>
      <c r="J1" s="542"/>
      <c r="K1" s="541"/>
      <c r="L1" s="541"/>
      <c r="M1" s="541"/>
      <c r="N1" s="541"/>
      <c r="O1" s="541"/>
      <c r="P1" s="541"/>
      <c r="Q1" s="541"/>
      <c r="R1" s="541"/>
      <c r="S1" s="541"/>
      <c r="T1" s="541"/>
    </row>
    <row r="2" spans="1:21" ht="16.5" thickBot="1" x14ac:dyDescent="0.3">
      <c r="A2" s="765" t="s">
        <v>14</v>
      </c>
      <c r="B2" s="765"/>
      <c r="C2" s="765"/>
      <c r="D2" s="765"/>
      <c r="E2" s="541"/>
      <c r="F2" s="541"/>
      <c r="G2" s="541"/>
      <c r="H2" s="541"/>
      <c r="I2" s="541"/>
      <c r="J2" s="542"/>
      <c r="K2" s="541"/>
      <c r="L2" s="541"/>
      <c r="M2" s="541"/>
      <c r="N2" s="541"/>
      <c r="O2" s="541"/>
      <c r="P2" s="541"/>
      <c r="Q2" s="541"/>
      <c r="R2" s="541"/>
      <c r="S2" s="541"/>
      <c r="T2" s="541"/>
    </row>
    <row r="3" spans="1:21" x14ac:dyDescent="0.25">
      <c r="A3" s="791" t="s">
        <v>264</v>
      </c>
      <c r="B3" s="791"/>
      <c r="C3" s="791"/>
      <c r="D3" s="791"/>
      <c r="E3" s="541"/>
      <c r="F3" s="541"/>
      <c r="G3" s="541"/>
      <c r="H3" s="541"/>
      <c r="I3" s="541"/>
      <c r="J3" s="542"/>
      <c r="K3" s="541"/>
      <c r="L3" s="541"/>
      <c r="M3" s="541"/>
      <c r="N3" s="541"/>
      <c r="O3" s="541"/>
      <c r="P3" s="541"/>
      <c r="Q3" s="541"/>
      <c r="R3" s="541"/>
      <c r="S3" s="541"/>
      <c r="T3" s="541"/>
    </row>
    <row r="4" spans="1:21" ht="15.75" x14ac:dyDescent="0.25">
      <c r="A4" s="792"/>
      <c r="B4" s="792"/>
      <c r="C4" s="792"/>
      <c r="D4" s="792"/>
      <c r="E4" s="543"/>
      <c r="F4" s="543"/>
      <c r="G4" s="543"/>
      <c r="H4" s="543"/>
      <c r="I4" s="543"/>
      <c r="J4" s="544"/>
      <c r="K4" s="543"/>
      <c r="L4" s="543"/>
      <c r="M4" s="543"/>
      <c r="N4" s="543"/>
      <c r="O4" s="543"/>
      <c r="P4" s="543"/>
      <c r="Q4" s="543"/>
      <c r="R4" s="543"/>
      <c r="S4" s="543"/>
      <c r="T4" s="543"/>
    </row>
    <row r="5" spans="1:21" ht="15.75" thickBot="1" x14ac:dyDescent="0.3">
      <c r="A5" s="541"/>
      <c r="B5" s="541"/>
      <c r="C5" s="541"/>
      <c r="D5" s="793"/>
      <c r="E5" s="793"/>
      <c r="F5" s="793"/>
      <c r="G5" s="793"/>
      <c r="H5" s="793"/>
      <c r="I5" s="793"/>
      <c r="J5" s="793"/>
      <c r="K5" s="793"/>
      <c r="L5" s="541"/>
      <c r="M5" s="794"/>
      <c r="N5" s="794"/>
      <c r="O5" s="794"/>
      <c r="P5" s="794"/>
      <c r="Q5" s="541"/>
      <c r="R5" s="541"/>
      <c r="S5" s="541"/>
      <c r="T5" s="541"/>
    </row>
    <row r="6" spans="1:21" x14ac:dyDescent="0.25">
      <c r="A6" s="541"/>
      <c r="B6" s="545"/>
      <c r="C6" s="546"/>
      <c r="D6" s="785" t="s">
        <v>265</v>
      </c>
      <c r="E6" s="785"/>
      <c r="F6" s="785"/>
      <c r="G6" s="785"/>
      <c r="H6" s="785"/>
      <c r="I6" s="785"/>
      <c r="J6" s="785"/>
      <c r="K6" s="785"/>
      <c r="L6" s="785"/>
      <c r="M6" s="785" t="s">
        <v>266</v>
      </c>
      <c r="N6" s="786"/>
      <c r="O6" s="786"/>
      <c r="P6" s="786"/>
      <c r="Q6" s="785" t="s">
        <v>267</v>
      </c>
      <c r="R6" s="786"/>
      <c r="S6" s="786"/>
      <c r="T6" s="787"/>
    </row>
    <row r="7" spans="1:21" ht="45.75" thickBot="1" x14ac:dyDescent="0.3">
      <c r="A7" s="547"/>
      <c r="B7" s="548" t="s">
        <v>268</v>
      </c>
      <c r="C7" s="549" t="s">
        <v>269</v>
      </c>
      <c r="D7" s="549" t="s">
        <v>270</v>
      </c>
      <c r="E7" s="549" t="s">
        <v>271</v>
      </c>
      <c r="F7" s="549" t="s">
        <v>272</v>
      </c>
      <c r="G7" s="549" t="s">
        <v>273</v>
      </c>
      <c r="H7" s="549" t="s">
        <v>274</v>
      </c>
      <c r="I7" s="549" t="s">
        <v>275</v>
      </c>
      <c r="J7" s="550" t="s">
        <v>276</v>
      </c>
      <c r="K7" s="549" t="s">
        <v>277</v>
      </c>
      <c r="L7" s="549" t="s">
        <v>278</v>
      </c>
      <c r="M7" s="549" t="s">
        <v>279</v>
      </c>
      <c r="N7" s="549" t="s">
        <v>280</v>
      </c>
      <c r="O7" s="549" t="s">
        <v>178</v>
      </c>
      <c r="P7" s="549" t="s">
        <v>24</v>
      </c>
      <c r="Q7" s="550" t="s">
        <v>281</v>
      </c>
      <c r="R7" s="550" t="s">
        <v>282</v>
      </c>
      <c r="S7" s="550" t="s">
        <v>283</v>
      </c>
      <c r="T7" s="551" t="s">
        <v>284</v>
      </c>
    </row>
    <row r="8" spans="1:21" ht="15.75" thickBot="1" x14ac:dyDescent="0.3">
      <c r="A8" s="541"/>
      <c r="B8" s="552"/>
      <c r="C8" s="552"/>
      <c r="D8" s="553"/>
      <c r="E8" s="553"/>
      <c r="F8" s="553"/>
      <c r="G8" s="553"/>
      <c r="H8" s="553"/>
      <c r="I8" s="553"/>
      <c r="J8" s="554"/>
      <c r="K8" s="553"/>
      <c r="L8" s="553"/>
      <c r="M8" s="552"/>
      <c r="N8" s="552"/>
      <c r="O8" s="552"/>
      <c r="P8" s="552"/>
      <c r="Q8" s="552"/>
      <c r="R8" s="552"/>
      <c r="S8" s="552"/>
      <c r="T8" s="552"/>
    </row>
    <row r="9" spans="1:21" ht="15.75" thickBot="1" x14ac:dyDescent="0.3">
      <c r="A9" s="541"/>
      <c r="B9" s="555" t="s">
        <v>285</v>
      </c>
      <c r="C9" s="556" t="s">
        <v>286</v>
      </c>
      <c r="D9" s="557">
        <f>WACC!D46</f>
        <v>192.45</v>
      </c>
      <c r="E9" s="557">
        <f>WACC!E46</f>
        <v>5855</v>
      </c>
      <c r="F9" s="557">
        <f>D9*E9</f>
        <v>1126794.75</v>
      </c>
      <c r="G9" s="557">
        <f>WACC!C46</f>
        <v>125172</v>
      </c>
      <c r="H9" s="557">
        <v>0</v>
      </c>
      <c r="I9" s="558">
        <v>0</v>
      </c>
      <c r="J9" s="559">
        <f>'Alphabet-BS'!F7</f>
        <v>23466</v>
      </c>
      <c r="K9" s="557">
        <f>'Alphabet-BS'!F8+'Alphabet-BS'!G13</f>
        <v>110173</v>
      </c>
      <c r="L9" s="560">
        <f>F9+G9+H9+I9-J9-K9</f>
        <v>1118327.75</v>
      </c>
      <c r="M9" s="561">
        <f>'Alphabet-IS'!F7</f>
        <v>350018</v>
      </c>
      <c r="N9" s="561">
        <f>'Alphabet-IS'!F25+'Fixed Assets Schedule'!F11</f>
        <v>128234</v>
      </c>
      <c r="O9" s="561">
        <f>'Alphabet-IS'!F25</f>
        <v>112390</v>
      </c>
      <c r="P9" s="561">
        <f>'Alphabet-IS'!F33</f>
        <v>100118</v>
      </c>
      <c r="Q9" s="562">
        <f>$L9/M9</f>
        <v>3.1950578255975408</v>
      </c>
      <c r="R9" s="562">
        <f>$L9/N9</f>
        <v>8.7209924824929423</v>
      </c>
      <c r="S9" s="562">
        <f t="shared" ref="S9:T13" si="0">$L9/O9</f>
        <v>9.9504204110686008</v>
      </c>
      <c r="T9" s="562">
        <f t="shared" si="0"/>
        <v>11.170096785792765</v>
      </c>
    </row>
    <row r="10" spans="1:21" ht="15.75" thickBot="1" x14ac:dyDescent="0.3">
      <c r="A10" s="541"/>
      <c r="B10" s="335" t="s">
        <v>161</v>
      </c>
      <c r="C10" s="542" t="s">
        <v>287</v>
      </c>
      <c r="D10" s="147">
        <f>WACC!D51</f>
        <v>592.27</v>
      </c>
      <c r="E10" s="147">
        <f>WACC!E51</f>
        <v>2211</v>
      </c>
      <c r="F10" s="557">
        <f>D10*E10</f>
        <v>1309508.97</v>
      </c>
      <c r="G10" s="147">
        <f>WACC!C51</f>
        <v>93417</v>
      </c>
      <c r="H10" s="557">
        <v>0</v>
      </c>
      <c r="I10" s="558">
        <v>0</v>
      </c>
      <c r="J10" s="563">
        <v>43889</v>
      </c>
      <c r="K10">
        <f>33926+6070</f>
        <v>39996</v>
      </c>
      <c r="L10" s="560">
        <f>F10+G10+H10+I10-J10-K10</f>
        <v>1319040.97</v>
      </c>
      <c r="M10" s="147">
        <v>164501</v>
      </c>
      <c r="N10" s="147">
        <v>101568</v>
      </c>
      <c r="O10" s="147">
        <v>69380</v>
      </c>
      <c r="P10" s="147">
        <v>62360</v>
      </c>
      <c r="Q10" s="562">
        <f t="shared" ref="Q10:Q13" si="1">$L10/M10</f>
        <v>8.0184373955173527</v>
      </c>
      <c r="R10" s="562">
        <f t="shared" ref="R10:R13" si="2">$L10/N10</f>
        <v>12.986777036074354</v>
      </c>
      <c r="S10" s="562">
        <f t="shared" si="0"/>
        <v>19.01183294897665</v>
      </c>
      <c r="T10" s="562">
        <f t="shared" si="0"/>
        <v>21.152036080821038</v>
      </c>
    </row>
    <row r="11" spans="1:21" ht="15.75" thickBot="1" x14ac:dyDescent="0.3">
      <c r="A11" s="541"/>
      <c r="B11" s="335" t="s">
        <v>162</v>
      </c>
      <c r="C11" s="542" t="s">
        <v>288</v>
      </c>
      <c r="D11" s="564">
        <f>WACC!D66</f>
        <v>414.67</v>
      </c>
      <c r="E11" s="146">
        <f>WACC!E66</f>
        <v>7341</v>
      </c>
      <c r="F11" s="557">
        <f t="shared" ref="F11:F13" si="3">D11*E11</f>
        <v>3044092.47</v>
      </c>
      <c r="G11" s="564">
        <f>WACC!C66</f>
        <v>243686</v>
      </c>
      <c r="H11" s="557">
        <v>0</v>
      </c>
      <c r="I11" s="558">
        <v>0</v>
      </c>
      <c r="J11" s="171">
        <v>18315</v>
      </c>
      <c r="K11" s="147">
        <f>57228+14600</f>
        <v>71828</v>
      </c>
      <c r="L11" s="560">
        <f t="shared" ref="L11:L13" si="4">F11+G11+H11+I11-J11-K11</f>
        <v>3197635.47</v>
      </c>
      <c r="M11" s="564">
        <v>245122</v>
      </c>
      <c r="N11" s="564">
        <v>131720</v>
      </c>
      <c r="O11" s="564">
        <v>109433</v>
      </c>
      <c r="P11" s="564">
        <v>88136</v>
      </c>
      <c r="Q11" s="562">
        <f t="shared" si="1"/>
        <v>13.045077430830363</v>
      </c>
      <c r="R11" s="562">
        <f t="shared" si="2"/>
        <v>24.276005693896145</v>
      </c>
      <c r="S11" s="562">
        <f t="shared" si="0"/>
        <v>29.220029333016551</v>
      </c>
      <c r="T11" s="562">
        <f t="shared" si="0"/>
        <v>36.280696537169831</v>
      </c>
    </row>
    <row r="12" spans="1:21" ht="15.75" thickBot="1" x14ac:dyDescent="0.3">
      <c r="A12" s="541"/>
      <c r="B12" s="335" t="s">
        <v>289</v>
      </c>
      <c r="C12" s="542" t="s">
        <v>290</v>
      </c>
      <c r="D12" s="564">
        <f>WACC!D61</f>
        <v>230.04</v>
      </c>
      <c r="E12" s="146">
        <f>WACC!E61</f>
        <v>15343.782999999999</v>
      </c>
      <c r="F12" s="557">
        <f t="shared" si="3"/>
        <v>3529683.8413199997</v>
      </c>
      <c r="G12" s="564">
        <f>WACC!C61</f>
        <v>308030</v>
      </c>
      <c r="H12" s="557">
        <v>0</v>
      </c>
      <c r="I12" s="558">
        <v>0</v>
      </c>
      <c r="J12" s="565">
        <v>29943</v>
      </c>
      <c r="K12" s="564">
        <f>35288+91479</f>
        <v>126767</v>
      </c>
      <c r="L12" s="560">
        <f t="shared" si="4"/>
        <v>3681003.8413199997</v>
      </c>
      <c r="M12" s="564">
        <v>391045</v>
      </c>
      <c r="N12" s="564">
        <v>134661</v>
      </c>
      <c r="O12" s="564">
        <v>123216</v>
      </c>
      <c r="P12" s="564">
        <v>93736</v>
      </c>
      <c r="Q12" s="562">
        <f t="shared" si="1"/>
        <v>9.4132487087675329</v>
      </c>
      <c r="R12" s="562">
        <f t="shared" si="2"/>
        <v>27.335337189832241</v>
      </c>
      <c r="S12" s="562">
        <f t="shared" si="0"/>
        <v>29.874398140825864</v>
      </c>
      <c r="T12" s="562">
        <f t="shared" si="0"/>
        <v>39.269905279935131</v>
      </c>
    </row>
    <row r="13" spans="1:21" ht="15.75" thickBot="1" x14ac:dyDescent="0.3">
      <c r="A13" s="541"/>
      <c r="B13" s="335" t="s">
        <v>291</v>
      </c>
      <c r="C13" s="542" t="s">
        <v>164</v>
      </c>
      <c r="D13" s="564">
        <f>WACC!D56</f>
        <v>220.72</v>
      </c>
      <c r="E13" s="146">
        <f>WACC!E56</f>
        <v>921.76783399999999</v>
      </c>
      <c r="F13" s="557">
        <f t="shared" si="3"/>
        <v>203452.59632047999</v>
      </c>
      <c r="G13" s="564">
        <f>WACC!C56</f>
        <v>109783</v>
      </c>
      <c r="H13" s="557">
        <v>0</v>
      </c>
      <c r="I13" s="558">
        <v>0</v>
      </c>
      <c r="J13" s="565">
        <v>13947</v>
      </c>
      <c r="K13" s="564">
        <f>644+1787</f>
        <v>2431</v>
      </c>
      <c r="L13" s="560">
        <f t="shared" si="4"/>
        <v>296857.59632047999</v>
      </c>
      <c r="M13" s="564">
        <v>62753</v>
      </c>
      <c r="N13" s="564">
        <v>16400</v>
      </c>
      <c r="O13" s="564">
        <v>11263</v>
      </c>
      <c r="P13" s="564">
        <v>6023</v>
      </c>
      <c r="Q13" s="562">
        <f t="shared" si="1"/>
        <v>4.730572184923111</v>
      </c>
      <c r="R13" s="562">
        <f t="shared" si="2"/>
        <v>18.101072946370731</v>
      </c>
      <c r="S13" s="562">
        <f t="shared" si="0"/>
        <v>26.35688505020687</v>
      </c>
      <c r="T13" s="562">
        <f t="shared" si="0"/>
        <v>49.287331283493273</v>
      </c>
    </row>
    <row r="14" spans="1:21" x14ac:dyDescent="0.25">
      <c r="A14" s="541"/>
      <c r="B14" s="335"/>
      <c r="C14" s="541"/>
      <c r="D14" s="541"/>
      <c r="E14" s="566"/>
      <c r="F14" s="541"/>
      <c r="G14" s="541"/>
      <c r="H14" s="335"/>
      <c r="I14" s="335"/>
      <c r="J14" s="542"/>
      <c r="K14" s="541"/>
      <c r="L14" s="541"/>
      <c r="M14" s="541"/>
      <c r="N14" s="541"/>
      <c r="O14" s="541"/>
      <c r="P14" s="541"/>
      <c r="Q14" s="541"/>
      <c r="R14" s="541"/>
      <c r="S14" s="541"/>
      <c r="T14" s="541"/>
      <c r="U14" s="541">
        <v>1</v>
      </c>
    </row>
    <row r="15" spans="1:21" x14ac:dyDescent="0.25">
      <c r="A15" s="541"/>
      <c r="B15" s="567" t="s">
        <v>292</v>
      </c>
      <c r="C15" s="568"/>
      <c r="D15" s="569"/>
      <c r="E15" s="569"/>
      <c r="F15" s="569"/>
      <c r="G15" s="569"/>
      <c r="H15" s="569"/>
      <c r="I15" s="569"/>
      <c r="J15" s="570"/>
      <c r="K15" s="569"/>
      <c r="L15" s="569"/>
      <c r="M15" s="569"/>
      <c r="N15" s="569"/>
      <c r="O15" s="569"/>
      <c r="P15" s="569"/>
      <c r="Q15" s="571">
        <f>MAX(Q10:Q13)</f>
        <v>13.045077430830363</v>
      </c>
      <c r="R15" s="571">
        <f>MAX(R10:R13)</f>
        <v>27.335337189832241</v>
      </c>
      <c r="S15" s="571">
        <f>MAX(S10:S13)</f>
        <v>29.874398140825864</v>
      </c>
      <c r="T15" s="571">
        <f>MAX(T10:T13)</f>
        <v>49.287331283493273</v>
      </c>
    </row>
    <row r="16" spans="1:21" x14ac:dyDescent="0.25">
      <c r="A16" s="541"/>
      <c r="B16" s="572" t="s">
        <v>293</v>
      </c>
      <c r="C16" s="573"/>
      <c r="D16" s="574"/>
      <c r="E16" s="574"/>
      <c r="F16" s="574"/>
      <c r="G16" s="574"/>
      <c r="H16" s="574"/>
      <c r="I16" s="574"/>
      <c r="J16" s="575"/>
      <c r="K16" s="574"/>
      <c r="L16" s="574"/>
      <c r="M16" s="574"/>
      <c r="N16" s="574"/>
      <c r="O16" s="574"/>
      <c r="P16" s="574"/>
      <c r="Q16" s="576">
        <f>_xlfn.QUARTILE.INC(Q10:Q13,3)</f>
        <v>10.32120588928324</v>
      </c>
      <c r="R16" s="576">
        <f>_xlfn.QUARTILE.INC(R10:R13,3)</f>
        <v>25.040838567880169</v>
      </c>
      <c r="S16" s="576">
        <f>_xlfn.QUARTILE.INC(S10:S13,3)</f>
        <v>29.383621534968881</v>
      </c>
      <c r="T16" s="576">
        <f>_xlfn.QUARTILE.INC(T10:T13,3)</f>
        <v>41.774261780824666</v>
      </c>
    </row>
    <row r="17" spans="1:20" x14ac:dyDescent="0.25">
      <c r="A17" s="541"/>
      <c r="B17" s="572" t="s">
        <v>294</v>
      </c>
      <c r="C17" s="573"/>
      <c r="D17" s="574"/>
      <c r="E17" s="574"/>
      <c r="F17" s="574"/>
      <c r="G17" s="574"/>
      <c r="H17" s="574"/>
      <c r="I17" s="574"/>
      <c r="J17" s="575"/>
      <c r="K17" s="574"/>
      <c r="L17" s="574"/>
      <c r="M17" s="574"/>
      <c r="N17" s="574"/>
      <c r="O17" s="574"/>
      <c r="P17" s="574"/>
      <c r="Q17" s="576">
        <f>AVERAGE(Q10:Q13)</f>
        <v>8.8018339300095896</v>
      </c>
      <c r="R17" s="576">
        <f>AVERAGE(R10:R13)</f>
        <v>20.674798216543369</v>
      </c>
      <c r="S17" s="576">
        <f>AVERAGE(S10:S13)</f>
        <v>26.115786368256483</v>
      </c>
      <c r="T17" s="576">
        <f>AVERAGE(T10:T13)</f>
        <v>36.497492295354817</v>
      </c>
    </row>
    <row r="18" spans="1:20" x14ac:dyDescent="0.25">
      <c r="A18" s="541"/>
      <c r="B18" s="572" t="s">
        <v>295</v>
      </c>
      <c r="C18" s="573"/>
      <c r="D18" s="574"/>
      <c r="E18" s="574"/>
      <c r="F18" s="574"/>
      <c r="G18" s="574"/>
      <c r="H18" s="574"/>
      <c r="I18" s="574"/>
      <c r="J18" s="575"/>
      <c r="K18" s="574"/>
      <c r="L18" s="574"/>
      <c r="M18" s="574"/>
      <c r="N18" s="574"/>
      <c r="O18" s="574"/>
      <c r="P18" s="574"/>
      <c r="Q18" s="576">
        <f>MEDIAN(Q10:Q13)</f>
        <v>8.7158430521424428</v>
      </c>
      <c r="R18" s="576">
        <f>MEDIAN(R10:R13)</f>
        <v>21.188539320133437</v>
      </c>
      <c r="S18" s="576">
        <f>MEDIAN(S10:S13)</f>
        <v>27.788457191611712</v>
      </c>
      <c r="T18" s="576">
        <f>MEDIAN(T10:T13)</f>
        <v>37.775300908552481</v>
      </c>
    </row>
    <row r="19" spans="1:20" x14ac:dyDescent="0.25">
      <c r="A19" s="541"/>
      <c r="B19" s="572" t="s">
        <v>296</v>
      </c>
      <c r="C19" s="573"/>
      <c r="D19" s="574"/>
      <c r="E19" s="574"/>
      <c r="F19" s="574"/>
      <c r="G19" s="574"/>
      <c r="H19" s="574"/>
      <c r="I19" s="574"/>
      <c r="J19" s="575"/>
      <c r="K19" s="574"/>
      <c r="L19" s="574"/>
      <c r="M19" s="574"/>
      <c r="N19" s="574"/>
      <c r="O19" s="574"/>
      <c r="P19" s="574"/>
      <c r="Q19" s="576">
        <f>_xlfn.QUARTILE.INC(Q10:Q13,1)</f>
        <v>7.1964710928687925</v>
      </c>
      <c r="R19" s="576">
        <f>_xlfn.QUARTILE.INC(R10:R13,1)</f>
        <v>16.822498968796637</v>
      </c>
      <c r="S19" s="576">
        <f>_xlfn.QUARTILE.INC(S10:S13,1)</f>
        <v>24.520622024899314</v>
      </c>
      <c r="T19" s="576">
        <f>_xlfn.QUARTILE.INC(T10:T13,1)</f>
        <v>32.498531423082632</v>
      </c>
    </row>
    <row r="20" spans="1:20" x14ac:dyDescent="0.25">
      <c r="A20" s="541"/>
      <c r="B20" s="567" t="s">
        <v>297</v>
      </c>
      <c r="C20" s="568"/>
      <c r="D20" s="569"/>
      <c r="E20" s="569"/>
      <c r="F20" s="569"/>
      <c r="G20" s="569"/>
      <c r="H20" s="569"/>
      <c r="I20" s="569"/>
      <c r="J20" s="570"/>
      <c r="K20" s="569"/>
      <c r="L20" s="569"/>
      <c r="M20" s="569"/>
      <c r="N20" s="569"/>
      <c r="O20" s="569"/>
      <c r="P20" s="569"/>
      <c r="Q20" s="571">
        <f>MIN(Q10:Q13)</f>
        <v>4.730572184923111</v>
      </c>
      <c r="R20" s="571">
        <f>MIN(R10:R13)</f>
        <v>12.986777036074354</v>
      </c>
      <c r="S20" s="571">
        <f>MIN(S10:S13)</f>
        <v>19.01183294897665</v>
      </c>
      <c r="T20" s="571">
        <f>MIN(T10:T13)</f>
        <v>21.152036080821038</v>
      </c>
    </row>
    <row r="21" spans="1:20" ht="15.75" thickBot="1" x14ac:dyDescent="0.3">
      <c r="A21" s="541"/>
      <c r="B21" s="541"/>
      <c r="C21" s="541"/>
      <c r="D21" s="541"/>
      <c r="E21" s="541"/>
      <c r="F21" s="541"/>
      <c r="G21" s="541"/>
      <c r="H21" s="541"/>
      <c r="I21" s="541"/>
      <c r="J21" s="542"/>
      <c r="K21" s="541"/>
      <c r="L21" s="541"/>
      <c r="M21" s="541"/>
      <c r="N21" s="541"/>
      <c r="O21" s="541"/>
      <c r="P21" s="541"/>
      <c r="Q21" s="541"/>
      <c r="R21" s="541"/>
      <c r="S21" s="541"/>
      <c r="T21" s="541"/>
    </row>
    <row r="22" spans="1:20" ht="15.75" thickBot="1" x14ac:dyDescent="0.3">
      <c r="A22" s="541"/>
      <c r="B22" s="788"/>
      <c r="C22" s="789"/>
      <c r="D22" s="789"/>
      <c r="E22" s="789"/>
      <c r="F22" s="789"/>
      <c r="G22" s="789"/>
      <c r="H22" s="789"/>
      <c r="I22" s="789"/>
      <c r="J22" s="789"/>
      <c r="K22" s="789"/>
      <c r="L22" s="789"/>
      <c r="M22" s="789"/>
      <c r="N22" s="789"/>
      <c r="O22" s="789"/>
      <c r="P22" s="789"/>
      <c r="Q22" s="577" t="s">
        <v>281</v>
      </c>
      <c r="R22" s="577" t="s">
        <v>282</v>
      </c>
      <c r="S22" s="577" t="s">
        <v>283</v>
      </c>
      <c r="T22" s="578" t="s">
        <v>284</v>
      </c>
    </row>
    <row r="23" spans="1:20" x14ac:dyDescent="0.25">
      <c r="A23" s="541"/>
      <c r="B23" s="790" t="s">
        <v>298</v>
      </c>
      <c r="C23" s="790"/>
      <c r="D23" s="790"/>
      <c r="E23" s="790"/>
      <c r="F23" s="790"/>
      <c r="G23" s="790"/>
      <c r="H23" s="790"/>
      <c r="I23" s="790"/>
      <c r="J23" s="790"/>
      <c r="K23" s="790"/>
      <c r="L23" s="790"/>
      <c r="M23" s="790"/>
      <c r="N23" s="790"/>
      <c r="O23" s="790"/>
      <c r="P23" s="790"/>
      <c r="Q23" s="579">
        <f>M9*CHOOSE($U$14,Q16,Q17,Q18,Q19,)</f>
        <v>3612607.8429551409</v>
      </c>
      <c r="R23" s="579">
        <f>N9*CHOOSE($U$14,R16,R17,R18,R19,)</f>
        <v>3211086.8929135455</v>
      </c>
      <c r="S23" s="579">
        <f>P9*CHOOSE($U$14,S16,S17,S18,S19,)</f>
        <v>2941829.4208380147</v>
      </c>
      <c r="T23" s="579">
        <f>P9*CHOOSE($U$14,T16,T17,T18,T19,)</f>
        <v>4182355.540972604</v>
      </c>
    </row>
    <row r="24" spans="1:20" x14ac:dyDescent="0.25">
      <c r="A24" s="541"/>
      <c r="B24" s="781" t="s">
        <v>255</v>
      </c>
      <c r="C24" s="781"/>
      <c r="D24" s="781"/>
      <c r="E24" s="781"/>
      <c r="F24" s="781"/>
      <c r="G24" s="781"/>
      <c r="H24" s="781"/>
      <c r="I24" s="781"/>
      <c r="J24" s="781"/>
      <c r="K24" s="781"/>
      <c r="L24" s="781"/>
      <c r="M24" s="781"/>
      <c r="N24" s="781"/>
      <c r="O24" s="781"/>
      <c r="P24" s="781"/>
      <c r="Q24" s="579">
        <f>G9</f>
        <v>125172</v>
      </c>
      <c r="R24" s="579">
        <f>G9</f>
        <v>125172</v>
      </c>
      <c r="S24" s="579">
        <f>H9</f>
        <v>0</v>
      </c>
      <c r="T24" s="579">
        <v>0</v>
      </c>
    </row>
    <row r="25" spans="1:20" x14ac:dyDescent="0.25">
      <c r="A25" s="541"/>
      <c r="B25" s="781" t="s">
        <v>299</v>
      </c>
      <c r="C25" s="781"/>
      <c r="D25" s="781"/>
      <c r="E25" s="781"/>
      <c r="F25" s="781"/>
      <c r="G25" s="781"/>
      <c r="H25" s="781"/>
      <c r="I25" s="781"/>
      <c r="J25" s="781"/>
      <c r="K25" s="781"/>
      <c r="L25" s="781"/>
      <c r="M25" s="781"/>
      <c r="N25" s="781"/>
      <c r="O25" s="781"/>
      <c r="P25" s="781"/>
      <c r="Q25" s="579">
        <v>0</v>
      </c>
      <c r="R25" s="579">
        <v>0</v>
      </c>
      <c r="S25" s="579">
        <v>0</v>
      </c>
      <c r="T25" s="579">
        <v>0</v>
      </c>
    </row>
    <row r="26" spans="1:20" x14ac:dyDescent="0.25">
      <c r="A26" s="541"/>
      <c r="B26" s="781" t="s">
        <v>275</v>
      </c>
      <c r="C26" s="781"/>
      <c r="D26" s="781"/>
      <c r="E26" s="781"/>
      <c r="F26" s="781"/>
      <c r="G26" s="781"/>
      <c r="H26" s="781"/>
      <c r="I26" s="781"/>
      <c r="J26" s="781"/>
      <c r="K26" s="781"/>
      <c r="L26" s="781"/>
      <c r="M26" s="781"/>
      <c r="N26" s="781"/>
      <c r="O26" s="781"/>
      <c r="P26" s="781"/>
      <c r="Q26" s="579">
        <v>0</v>
      </c>
      <c r="R26" s="579">
        <v>0</v>
      </c>
      <c r="S26" s="579">
        <v>0</v>
      </c>
      <c r="T26" s="579">
        <v>0</v>
      </c>
    </row>
    <row r="27" spans="1:20" x14ac:dyDescent="0.25">
      <c r="A27" s="541"/>
      <c r="B27" s="781" t="s">
        <v>300</v>
      </c>
      <c r="C27" s="781"/>
      <c r="D27" s="781"/>
      <c r="E27" s="781"/>
      <c r="F27" s="781"/>
      <c r="G27" s="781"/>
      <c r="H27" s="781"/>
      <c r="I27" s="781"/>
      <c r="J27" s="781"/>
      <c r="K27" s="781"/>
      <c r="L27" s="781"/>
      <c r="M27" s="781"/>
      <c r="N27" s="781"/>
      <c r="O27" s="781"/>
      <c r="P27" s="781"/>
      <c r="Q27" s="579">
        <f>J9</f>
        <v>23466</v>
      </c>
      <c r="R27" s="579">
        <f>$Q$27</f>
        <v>23466</v>
      </c>
      <c r="S27" s="579">
        <f>$Q$27</f>
        <v>23466</v>
      </c>
      <c r="T27" s="579">
        <v>0</v>
      </c>
    </row>
    <row r="28" spans="1:20" x14ac:dyDescent="0.25">
      <c r="A28" s="541"/>
      <c r="B28" s="781" t="s">
        <v>277</v>
      </c>
      <c r="C28" s="781"/>
      <c r="D28" s="781"/>
      <c r="E28" s="781"/>
      <c r="F28" s="781"/>
      <c r="G28" s="781"/>
      <c r="H28" s="781"/>
      <c r="I28" s="781"/>
      <c r="J28" s="781"/>
      <c r="K28" s="781"/>
      <c r="L28" s="781"/>
      <c r="M28" s="781"/>
      <c r="N28" s="781"/>
      <c r="O28" s="781"/>
      <c r="P28" s="781"/>
      <c r="Q28" s="579">
        <f>K9</f>
        <v>110173</v>
      </c>
      <c r="R28" s="579">
        <f>$Q$28</f>
        <v>110173</v>
      </c>
      <c r="S28" s="579">
        <f>$Q$28</f>
        <v>110173</v>
      </c>
      <c r="T28" s="579">
        <v>0</v>
      </c>
    </row>
    <row r="29" spans="1:20" x14ac:dyDescent="0.25">
      <c r="A29" s="541"/>
      <c r="B29" s="781" t="s">
        <v>301</v>
      </c>
      <c r="C29" s="781"/>
      <c r="D29" s="781"/>
      <c r="E29" s="781"/>
      <c r="F29" s="781"/>
      <c r="G29" s="781"/>
      <c r="H29" s="781"/>
      <c r="I29" s="781"/>
      <c r="J29" s="781"/>
      <c r="K29" s="781"/>
      <c r="L29" s="781"/>
      <c r="M29" s="781"/>
      <c r="N29" s="781"/>
      <c r="O29" s="781"/>
      <c r="P29" s="781"/>
      <c r="Q29" s="579">
        <f>Q23-Q24+Q27+Q28</f>
        <v>3621074.8429551409</v>
      </c>
      <c r="R29" s="579">
        <f>R23-R24+R27+R28</f>
        <v>3219553.8929135455</v>
      </c>
      <c r="S29" s="579">
        <f>S23-S24+S27+S28</f>
        <v>3075468.4208380147</v>
      </c>
      <c r="T29" s="579">
        <f>T23-T24+T27+T28</f>
        <v>4182355.540972604</v>
      </c>
    </row>
    <row r="30" spans="1:20" ht="15.75" thickBot="1" x14ac:dyDescent="0.3">
      <c r="A30" s="541"/>
      <c r="B30" s="782" t="s">
        <v>271</v>
      </c>
      <c r="C30" s="782"/>
      <c r="D30" s="782"/>
      <c r="E30" s="782"/>
      <c r="F30" s="782"/>
      <c r="G30" s="782"/>
      <c r="H30" s="782"/>
      <c r="I30" s="782"/>
      <c r="J30" s="782"/>
      <c r="K30" s="782"/>
      <c r="L30" s="782"/>
      <c r="M30" s="782"/>
      <c r="N30" s="782"/>
      <c r="O30" s="782"/>
      <c r="P30" s="782"/>
      <c r="Q30" s="579">
        <f>$E$9</f>
        <v>5855</v>
      </c>
      <c r="R30" s="579">
        <f t="shared" ref="R30:T30" si="5">$E$9</f>
        <v>5855</v>
      </c>
      <c r="S30" s="579">
        <f t="shared" si="5"/>
        <v>5855</v>
      </c>
      <c r="T30" s="579">
        <f t="shared" si="5"/>
        <v>5855</v>
      </c>
    </row>
    <row r="31" spans="1:20" ht="15.75" thickBot="1" x14ac:dyDescent="0.3">
      <c r="A31" s="541"/>
      <c r="B31" s="783" t="s">
        <v>302</v>
      </c>
      <c r="C31" s="784"/>
      <c r="D31" s="784"/>
      <c r="E31" s="784"/>
      <c r="F31" s="784"/>
      <c r="G31" s="784"/>
      <c r="H31" s="784"/>
      <c r="I31" s="784"/>
      <c r="J31" s="784"/>
      <c r="K31" s="784"/>
      <c r="L31" s="784"/>
      <c r="M31" s="784"/>
      <c r="N31" s="784"/>
      <c r="O31" s="784"/>
      <c r="P31" s="784"/>
      <c r="Q31" s="580">
        <f>Q29/Q30</f>
        <v>618.4585555858481</v>
      </c>
      <c r="R31" s="580">
        <f t="shared" ref="R31:T31" si="6">R29/R30</f>
        <v>549.88110895192915</v>
      </c>
      <c r="S31" s="580">
        <f t="shared" si="6"/>
        <v>525.27214702613401</v>
      </c>
      <c r="T31" s="581">
        <f t="shared" si="6"/>
        <v>714.32203944877949</v>
      </c>
    </row>
  </sheetData>
  <mergeCells count="18">
    <mergeCell ref="B26:P26"/>
    <mergeCell ref="A1:D1"/>
    <mergeCell ref="A2:D2"/>
    <mergeCell ref="A3:D4"/>
    <mergeCell ref="D5:K5"/>
    <mergeCell ref="M5:P5"/>
    <mergeCell ref="D6:L6"/>
    <mergeCell ref="M6:P6"/>
    <mergeCell ref="Q6:T6"/>
    <mergeCell ref="B22:P22"/>
    <mergeCell ref="B23:P23"/>
    <mergeCell ref="B24:P24"/>
    <mergeCell ref="B25:P25"/>
    <mergeCell ref="B27:P27"/>
    <mergeCell ref="B28:P28"/>
    <mergeCell ref="B29:P29"/>
    <mergeCell ref="B30:P30"/>
    <mergeCell ref="B31:P31"/>
  </mergeCells>
  <dataValidations count="1">
    <dataValidation type="list" allowBlank="1" showInputMessage="1" showErrorMessage="1" sqref="U14" xr:uid="{A0C4D132-1CA2-4066-B0E4-1E212DA94EF7}">
      <formula1>"1,2,3,4"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A4C5B5-47CA-49F1-876E-911FE9C618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Revenue Segments</vt:lpstr>
      <vt:lpstr>Alphabet-IS</vt:lpstr>
      <vt:lpstr>Debt Schedule</vt:lpstr>
      <vt:lpstr>Extra Calculation</vt:lpstr>
      <vt:lpstr>Fixed Assets Schedule</vt:lpstr>
      <vt:lpstr>Alphabet-CFS</vt:lpstr>
      <vt:lpstr>Alphabet-BS</vt:lpstr>
      <vt:lpstr>DCF</vt:lpstr>
      <vt:lpstr>WACC</vt:lpstr>
      <vt:lpstr>BETA</vt:lpstr>
      <vt:lpstr>Football field Analysis</vt:lpstr>
      <vt:lpstr>Dupont Analysis</vt:lpstr>
      <vt:lpstr>Comparable Company Analysis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Pankajj Goel</dc:creator>
  <cp:lastModifiedBy>dell</cp:lastModifiedBy>
  <dcterms:created xsi:type="dcterms:W3CDTF">2023-08-10T06:50:49Z</dcterms:created>
  <dcterms:modified xsi:type="dcterms:W3CDTF">2025-04-09T09:01:28Z</dcterms:modified>
</cp:coreProperties>
</file>