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LENOVO\Documents\excel projects\"/>
    </mc:Choice>
  </mc:AlternateContent>
  <xr:revisionPtr revIDLastSave="0" documentId="13_ncr:1_{45C7D20C-011F-4CC9-A02F-71EAF48466C8}" xr6:coauthVersionLast="47" xr6:coauthVersionMax="47" xr10:uidLastSave="{00000000-0000-0000-0000-000000000000}"/>
  <bookViews>
    <workbookView xWindow="-108" yWindow="-108" windowWidth="23256" windowHeight="12576" activeTab="4" xr2:uid="{CA261A31-96C8-4F90-A03C-56AD5AF74031}"/>
  </bookViews>
  <sheets>
    <sheet name="Pivot 1" sheetId="4" r:id="rId1"/>
    <sheet name="Pivot 2" sheetId="5" r:id="rId2"/>
    <sheet name="Pivot 3" sheetId="7" r:id="rId3"/>
    <sheet name="Pivot 4" sheetId="9" r:id="rId4"/>
    <sheet name="Dashboard 2" sheetId="8" r:id="rId5"/>
    <sheet name="Data" sheetId="1" r:id="rId6"/>
    <sheet name="Dashboard 1" sheetId="2" r:id="rId7"/>
  </sheets>
  <definedNames>
    <definedName name="_xlnm.Print_Area" localSheetId="6">'Dashboard 1'!$D$2:$Q$32</definedName>
    <definedName name="Slicer_Avg_Age">#N/A</definedName>
    <definedName name="Slicer_Month">#N/A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D15" i="1" l="1"/>
  <c r="AE15" i="1"/>
  <c r="AF15" i="1"/>
  <c r="AG15" i="1"/>
  <c r="F15" i="1"/>
  <c r="E15" i="1"/>
  <c r="D15" i="1"/>
  <c r="C15" i="1"/>
  <c r="AE28" i="2"/>
  <c r="N11" i="5"/>
  <c r="J11" i="5"/>
  <c r="F11" i="5"/>
  <c r="B11" i="5"/>
  <c r="B4" i="5"/>
  <c r="N4" i="5"/>
  <c r="J4" i="5"/>
  <c r="G4" i="5"/>
  <c r="B20" i="4"/>
  <c r="B19" i="4"/>
  <c r="V3" i="2" l="1"/>
  <c r="Z23" i="2" s="1"/>
  <c r="AI15" i="1"/>
  <c r="AH15" i="1"/>
  <c r="AC15" i="1"/>
  <c r="AB15" i="1"/>
  <c r="AA15" i="1"/>
  <c r="Z15" i="1"/>
  <c r="Y15" i="1"/>
  <c r="X15" i="1"/>
  <c r="W15" i="1"/>
  <c r="V15" i="1"/>
  <c r="U15" i="1"/>
  <c r="T15" i="1"/>
  <c r="S15" i="1"/>
  <c r="R15" i="1"/>
  <c r="Q15" i="1"/>
  <c r="P15" i="1"/>
  <c r="O15" i="1"/>
  <c r="N15" i="1"/>
  <c r="M15" i="1"/>
  <c r="K15" i="1"/>
  <c r="J15" i="1"/>
  <c r="I15" i="1"/>
  <c r="H15" i="1"/>
  <c r="G15" i="1"/>
  <c r="E14" i="1"/>
  <c r="F14" i="1" s="1"/>
  <c r="E13" i="1"/>
  <c r="F13" i="1" s="1"/>
  <c r="E12" i="1"/>
  <c r="F12" i="1" s="1"/>
  <c r="E11" i="1"/>
  <c r="F11" i="1" s="1"/>
  <c r="E10" i="1"/>
  <c r="F10" i="1" s="1"/>
  <c r="E9" i="1"/>
  <c r="F9" i="1" s="1"/>
  <c r="E8" i="1"/>
  <c r="F8" i="1" s="1"/>
  <c r="E7" i="1"/>
  <c r="F7" i="1" s="1"/>
  <c r="L6" i="1"/>
  <c r="L15" i="1" s="1"/>
  <c r="E6" i="1"/>
  <c r="F6" i="1" s="1"/>
  <c r="E5" i="1"/>
  <c r="F5" i="1" s="1"/>
  <c r="E4" i="1"/>
  <c r="F4" i="1" s="1"/>
  <c r="E3" i="1"/>
  <c r="AA27" i="2" l="1"/>
  <c r="Y23" i="2"/>
  <c r="AF26" i="2" s="1"/>
  <c r="AE27" i="2" s="1"/>
  <c r="X27" i="2"/>
  <c r="Y27" i="2"/>
  <c r="Z27" i="2" s="1"/>
  <c r="X47" i="2"/>
  <c r="Y47" i="2" s="1"/>
  <c r="X46" i="2"/>
  <c r="Y46" i="2" s="1"/>
  <c r="F3" i="1"/>
  <c r="AA23" i="2"/>
  <c r="X45" i="2"/>
  <c r="Y45" i="2" s="1"/>
  <c r="X44" i="2"/>
  <c r="Y44" i="2" s="1"/>
  <c r="Z31" i="2"/>
  <c r="Y31" i="2"/>
  <c r="X31" i="2"/>
  <c r="AA31" i="2"/>
  <c r="X23" i="2"/>
  <c r="X19" i="2"/>
  <c r="Y19" i="2"/>
  <c r="W35" i="2"/>
  <c r="W41" i="2"/>
  <c r="X41" i="2"/>
  <c r="X38" i="2"/>
  <c r="W3" i="2"/>
  <c r="X3" i="2"/>
  <c r="W16" i="2"/>
  <c r="W31" i="2"/>
  <c r="W10" i="2"/>
  <c r="W23" i="2"/>
  <c r="W38" i="2"/>
  <c r="V7" i="2"/>
  <c r="V10" i="2" s="1"/>
  <c r="V13" i="2" s="1"/>
  <c r="V16" i="2" s="1"/>
  <c r="V19" i="2" s="1"/>
  <c r="V23" i="2" s="1"/>
  <c r="V27" i="2" s="1"/>
  <c r="V31" i="2" s="1"/>
  <c r="V35" i="2" s="1"/>
  <c r="V38" i="2" s="1"/>
  <c r="V41" i="2" s="1"/>
  <c r="X35" i="2"/>
  <c r="W13" i="2"/>
  <c r="W27" i="2"/>
  <c r="W7" i="2"/>
  <c r="W19" i="2"/>
  <c r="AE25" i="2" l="1"/>
  <c r="AB27" i="2"/>
  <c r="AC27" i="2" s="1"/>
  <c r="Z19" i="2"/>
</calcChain>
</file>

<file path=xl/sharedStrings.xml><?xml version="1.0" encoding="utf-8"?>
<sst xmlns="http://schemas.openxmlformats.org/spreadsheetml/2006/main" count="240" uniqueCount="72">
  <si>
    <t># Sick Leave</t>
  </si>
  <si>
    <t># Hours Late</t>
  </si>
  <si>
    <t># Unpaid Leaves</t>
  </si>
  <si>
    <t>$ Incentive</t>
  </si>
  <si>
    <t>$ Overtime</t>
  </si>
  <si>
    <t># Headcount</t>
  </si>
  <si>
    <t># Leavers</t>
  </si>
  <si>
    <t># Joiners</t>
  </si>
  <si>
    <t># Employees Aged &gt;50</t>
  </si>
  <si>
    <t>% Of Females</t>
  </si>
  <si>
    <t>% Saudization</t>
  </si>
  <si>
    <t># Contract Termination</t>
  </si>
  <si>
    <t># Probation Period Termination</t>
  </si>
  <si>
    <t>% Employees Tenure</t>
  </si>
  <si>
    <t># Leavers With Service Less Than 3 Years</t>
  </si>
  <si>
    <t>% Turnover</t>
  </si>
  <si>
    <t># Retried Employees</t>
  </si>
  <si>
    <t>Avg Age</t>
  </si>
  <si>
    <t>% Hr Expenses Vs Budget</t>
  </si>
  <si>
    <t># Training Hours</t>
  </si>
  <si>
    <t>% High Performers</t>
  </si>
  <si>
    <t>% Low Performers</t>
  </si>
  <si>
    <t># Trained Employees</t>
  </si>
  <si>
    <t>% Training Effectiveness Index</t>
  </si>
  <si>
    <t>% Training Plan Achieved'</t>
  </si>
  <si>
    <t>% Manpower Plan Achieved</t>
  </si>
  <si>
    <t>Jan</t>
  </si>
  <si>
    <t>Feb</t>
  </si>
  <si>
    <t>Mar</t>
  </si>
  <si>
    <t>Apr</t>
  </si>
  <si>
    <t>May</t>
  </si>
  <si>
    <t>Jun</t>
  </si>
  <si>
    <t>Jul</t>
  </si>
  <si>
    <t>Aug</t>
  </si>
  <si>
    <t>Sep</t>
  </si>
  <si>
    <t>Oct</t>
  </si>
  <si>
    <t>Nov</t>
  </si>
  <si>
    <t>Dec</t>
  </si>
  <si>
    <t>Saudis</t>
  </si>
  <si>
    <t>Non-Sauids</t>
  </si>
  <si>
    <t>Month</t>
  </si>
  <si>
    <t>% Outsource</t>
  </si>
  <si>
    <t># Part Timers</t>
  </si>
  <si>
    <t># Corrective Actions</t>
  </si>
  <si>
    <t># HR Headcount</t>
  </si>
  <si>
    <t>% Automated Processes</t>
  </si>
  <si>
    <t>Non-Saudis</t>
  </si>
  <si>
    <t>$ Payroll</t>
  </si>
  <si>
    <t>High Performers</t>
  </si>
  <si>
    <t>Low Performers</t>
  </si>
  <si>
    <t>Male</t>
  </si>
  <si>
    <t>Row Labels</t>
  </si>
  <si>
    <t>Grand Total</t>
  </si>
  <si>
    <t>Sum of Saudis</t>
  </si>
  <si>
    <t>Sum of Non-Sauids</t>
  </si>
  <si>
    <t>Sum of # Headcount</t>
  </si>
  <si>
    <t>Sum of # Sick Leave</t>
  </si>
  <si>
    <t>Sum of # Hours Late</t>
  </si>
  <si>
    <t>Sum of $ Incentive</t>
  </si>
  <si>
    <t>Sum of $ Overtime</t>
  </si>
  <si>
    <t>Sum of $ Payroll</t>
  </si>
  <si>
    <t>Sum of # Leavers</t>
  </si>
  <si>
    <t>Sum of # Joiners</t>
  </si>
  <si>
    <t>Sum of % High Performers</t>
  </si>
  <si>
    <t>Sum of % Low Performers</t>
  </si>
  <si>
    <t>Sum of % Outsource</t>
  </si>
  <si>
    <t>Sum of # Part Timers</t>
  </si>
  <si>
    <t>Average of % Saudization</t>
  </si>
  <si>
    <t>Sum of % Turnover</t>
  </si>
  <si>
    <t>Sum of % Hr Expenses Vs Budget</t>
  </si>
  <si>
    <t>Sum of % Training Effectiveness Index</t>
  </si>
  <si>
    <t>Sum of % Training Plan Achieved'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</si>
</sst>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quot;$&quot;#,##0"/>
  </numFmts>
  <fonts count="7" x14ac:knownFonts="1">
    <font>
      <sz val="11"/>
      <color theme="1"/>
      <name val="Calibri"/>
      <family val="2"/>
      <scheme val="minor"/>
    </font>
    <font>
      <sz val="11"/>
      <color theme="1"/>
      <name val="Calibri"/>
      <family val="2"/>
      <scheme val="minor"/>
    </font>
    <font>
      <sz val="8"/>
      <name val="Calibri"/>
      <family val="2"/>
      <scheme val="minor"/>
    </font>
    <font>
      <sz val="12"/>
      <color theme="1"/>
      <name val="Calibri"/>
      <family val="2"/>
      <scheme val="minor"/>
    </font>
    <font>
      <sz val="11"/>
      <color theme="1"/>
      <name val="Abadi Extra Light"/>
      <family val="2"/>
    </font>
    <font>
      <b/>
      <sz val="11"/>
      <color theme="1"/>
      <name val="Calibri"/>
      <family val="2"/>
      <scheme val="minor"/>
    </font>
    <font>
      <sz val="11"/>
      <color theme="0" tint="-0.1499984740745262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0" tint="-0.14999847407452621"/>
        <bgColor indexed="64"/>
      </patternFill>
    </fill>
  </fills>
  <borders count="4">
    <border>
      <left/>
      <right/>
      <top/>
      <bottom/>
      <diagonal/>
    </border>
    <border>
      <left/>
      <right/>
      <top/>
      <bottom style="thin">
        <color theme="2"/>
      </bottom>
      <diagonal/>
    </border>
    <border>
      <left style="thin">
        <color theme="2"/>
      </left>
      <right/>
      <top/>
      <bottom style="thin">
        <color theme="2"/>
      </bottom>
      <diagonal/>
    </border>
    <border>
      <left/>
      <right/>
      <top/>
      <bottom style="thin">
        <color theme="4" tint="0.39997558519241921"/>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6">
    <xf numFmtId="0" fontId="0" fillId="0" borderId="0" xfId="0"/>
    <xf numFmtId="0" fontId="0" fillId="2" borderId="0" xfId="0" applyFill="1"/>
    <xf numFmtId="0" fontId="0" fillId="0" borderId="0" xfId="0" applyAlignment="1">
      <alignment horizontal="left" vertical="center" wrapText="1"/>
    </xf>
    <xf numFmtId="0" fontId="3" fillId="0" borderId="0" xfId="0" applyFont="1" applyAlignment="1">
      <alignment horizontal="center" vertical="center" wrapText="1"/>
    </xf>
    <xf numFmtId="0" fontId="4" fillId="3" borderId="0" xfId="0" applyFont="1" applyFill="1"/>
    <xf numFmtId="0" fontId="4" fillId="3" borderId="1" xfId="0" applyFont="1" applyFill="1" applyBorder="1"/>
    <xf numFmtId="0" fontId="4" fillId="3" borderId="2" xfId="0" applyFont="1" applyFill="1" applyBorder="1"/>
    <xf numFmtId="3" fontId="3" fillId="0" borderId="0" xfId="0" applyNumberFormat="1" applyFont="1" applyAlignment="1">
      <alignment horizontal="center" vertical="center" wrapText="1"/>
    </xf>
    <xf numFmtId="9" fontId="3" fillId="0" borderId="0" xfId="3" applyFont="1" applyAlignment="1">
      <alignment horizontal="center" vertical="center" wrapText="1"/>
    </xf>
    <xf numFmtId="9" fontId="0" fillId="0" borderId="0" xfId="3" applyFont="1" applyFill="1"/>
    <xf numFmtId="10" fontId="0" fillId="0" borderId="0" xfId="3" applyNumberFormat="1" applyFont="1" applyFill="1"/>
    <xf numFmtId="164" fontId="0" fillId="0" borderId="0" xfId="1" applyNumberFormat="1" applyFont="1" applyFill="1"/>
    <xf numFmtId="164" fontId="3" fillId="0" borderId="0" xfId="1" applyNumberFormat="1" applyFont="1" applyAlignment="1">
      <alignment horizontal="center" vertical="center" wrapText="1"/>
    </xf>
    <xf numFmtId="44" fontId="0" fillId="0" borderId="0" xfId="2" applyFont="1" applyFill="1"/>
    <xf numFmtId="164" fontId="0" fillId="0" borderId="0" xfId="0" applyNumberFormat="1"/>
    <xf numFmtId="10" fontId="3" fillId="0" borderId="0" xfId="3" applyNumberFormat="1" applyFont="1" applyAlignment="1">
      <alignment horizontal="center" vertical="center" wrapText="1"/>
    </xf>
    <xf numFmtId="9" fontId="3" fillId="0" borderId="0" xfId="0" applyNumberFormat="1" applyFont="1" applyAlignment="1">
      <alignment horizontal="center" vertical="center" wrapText="1"/>
    </xf>
    <xf numFmtId="9" fontId="0" fillId="0" borderId="0" xfId="0" applyNumberFormat="1"/>
    <xf numFmtId="0" fontId="0" fillId="0" borderId="0" xfId="0" pivotButton="1"/>
    <xf numFmtId="0" fontId="5" fillId="4" borderId="3" xfId="0" applyFont="1" applyFill="1" applyBorder="1"/>
    <xf numFmtId="0" fontId="0" fillId="0" borderId="0" xfId="0" applyAlignment="1">
      <alignment horizontal="left"/>
    </xf>
    <xf numFmtId="10" fontId="0" fillId="0" borderId="0" xfId="0" applyNumberFormat="1"/>
    <xf numFmtId="9" fontId="0" fillId="0" borderId="0" xfId="3" applyFont="1"/>
    <xf numFmtId="165" fontId="0" fillId="0" borderId="0" xfId="0" applyNumberFormat="1"/>
    <xf numFmtId="0" fontId="6" fillId="5" borderId="0" xfId="0" applyFont="1" applyFill="1"/>
    <xf numFmtId="0" fontId="6" fillId="2" borderId="0" xfId="0" applyFont="1" applyFill="1"/>
  </cellXfs>
  <cellStyles count="4">
    <cellStyle name="Comma" xfId="1" builtinId="3"/>
    <cellStyle name="Currency" xfId="2" builtinId="4"/>
    <cellStyle name="Normal" xfId="0" builtinId="0"/>
    <cellStyle name="Percent" xfId="3" builtinId="5"/>
  </cellStyles>
  <dxfs count="77">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3" formatCode="0%"/>
      <alignment horizontal="center" vertical="center" textRotation="0" wrapText="1" indent="0" justifyLastLine="0" shrinkToFit="0" readingOrder="0"/>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3" formatCode="0%"/>
      <alignment horizontal="center" vertical="center" textRotation="0" wrapText="1" indent="0" justifyLastLine="0" shrinkToFit="0" readingOrder="0"/>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3" formatCode="0%"/>
      <alignment horizontal="center" vertical="center" textRotation="0" wrapText="1" indent="0" justifyLastLine="0" shrinkToFit="0" readingOrder="0"/>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3" formatCode="0%"/>
      <alignment horizontal="center" vertical="center" textRotation="0" wrapText="1" indent="0" justifyLastLine="0" shrinkToFit="0" readingOrder="0"/>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strike val="0"/>
        <outline val="0"/>
        <shadow val="0"/>
        <u val="none"/>
        <vertAlign val="baseline"/>
        <sz val="12"/>
        <color theme="1"/>
        <name val="Calibri"/>
        <family val="2"/>
        <scheme val="minor"/>
      </font>
      <numFmt numFmtId="14"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strike val="0"/>
        <outline val="0"/>
        <shadow val="0"/>
        <u val="none"/>
        <vertAlign val="baseline"/>
        <sz val="12"/>
        <color theme="1"/>
        <name val="Calibri"/>
        <family val="2"/>
        <scheme val="minor"/>
      </font>
      <numFmt numFmtId="164" formatCode="_(* #,##0_);_(* \(#,##0\);_(* &quot;-&quot;??_);_(@_)"/>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strike val="0"/>
        <outline val="0"/>
        <shadow val="0"/>
        <u val="none"/>
        <vertAlign val="baseline"/>
        <sz val="12"/>
        <color theme="1"/>
        <name val="Calibri"/>
        <family val="2"/>
        <scheme val="minor"/>
      </font>
      <numFmt numFmtId="164" formatCode="_(* #,##0_);_(* \(#,##0\);_(* &quot;-&quot;??_);_(@_)"/>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strike val="0"/>
        <outline val="0"/>
        <shadow val="0"/>
        <u val="none"/>
        <vertAlign val="baseline"/>
        <sz val="12"/>
        <color theme="1"/>
        <name val="Calibri"/>
        <family val="2"/>
        <scheme val="minor"/>
      </font>
      <numFmt numFmtId="164" formatCode="_(* #,##0_);_(* \(#,##0\);_(* &quot;-&quot;??_);_(@_)"/>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3" formatCode="0%"/>
      <alignment horizontal="center" vertical="center" textRotation="0" wrapText="1" indent="0" justifyLastLine="0" shrinkToFit="0" readingOrder="0"/>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3" formatCode="#,##0"/>
      <alignment horizontal="center" vertical="center" textRotation="0" wrapText="1" indent="0" justifyLastLine="0" shrinkToFit="0" readingOrder="0"/>
    </dxf>
    <dxf>
      <font>
        <strike val="0"/>
        <outline val="0"/>
        <shadow val="0"/>
        <u val="none"/>
        <vertAlign val="baseline"/>
        <sz val="12"/>
        <color theme="1"/>
        <name val="Calibri"/>
        <family val="2"/>
        <scheme val="minor"/>
      </font>
      <numFmt numFmtId="3" formatCode="#,##0"/>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3" formatCode="#,##0"/>
      <alignment horizontal="center" vertical="center" textRotation="0" wrapText="1" indent="0" justifyLastLine="0" shrinkToFit="0" readingOrder="0"/>
    </dxf>
    <dxf>
      <font>
        <strike val="0"/>
        <outline val="0"/>
        <shadow val="0"/>
        <u val="none"/>
        <vertAlign val="baseline"/>
        <sz val="12"/>
        <color theme="1"/>
        <name val="Calibri"/>
        <family val="2"/>
        <scheme val="minor"/>
      </font>
      <numFmt numFmtId="3" formatCode="#,##0"/>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3" formatCode="#,##0"/>
      <alignment horizontal="center" vertical="center" textRotation="0" wrapText="1" indent="0" justifyLastLine="0" shrinkToFit="0" readingOrder="0"/>
    </dxf>
    <dxf>
      <font>
        <strike val="0"/>
        <outline val="0"/>
        <shadow val="0"/>
        <u val="none"/>
        <vertAlign val="baseline"/>
        <sz val="12"/>
        <color theme="1"/>
        <name val="Calibri"/>
        <family val="2"/>
        <scheme val="minor"/>
      </font>
      <numFmt numFmtId="3" formatCode="#,##0"/>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alignment horizontal="left" vertical="center" textRotation="0" wrapText="1" indent="0" justifyLastLine="0" shrinkToFit="0" readingOrder="0"/>
    </dxf>
    <dxf>
      <numFmt numFmtId="13" formatCode="0%"/>
    </dxf>
    <dxf>
      <numFmt numFmtId="13" formatCode="0%"/>
    </dxf>
    <dxf>
      <numFmt numFmtId="13" formatCode="0%"/>
    </dxf>
    <dxf>
      <numFmt numFmtId="13" formatCode="0%"/>
    </dxf>
    <dxf>
      <numFmt numFmtId="13" formatCode="0%"/>
    </dxf>
    <dxf>
      <numFmt numFmtId="13" formatCode="0%"/>
    </dxf>
    <dxf>
      <numFmt numFmtId="13" formatCode="0%"/>
    </dxf>
  </dxfs>
  <tableStyles count="0" defaultTableStyle="TableStyleMedium2" defaultPivotStyle="PivotStyleLight16"/>
  <colors>
    <mruColors>
      <color rgb="FF006666"/>
      <color rgb="FF008080"/>
      <color rgb="FFB8EAC9"/>
      <color rgb="FFFFBDBD"/>
      <color rgb="FFCC0066"/>
      <color rgb="FF6666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 (HR).xlsx]Pivot 1!PivotTable2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1'!$J$3</c:f>
              <c:strCache>
                <c:ptCount val="1"/>
                <c:pt idx="0">
                  <c:v>Total</c:v>
                </c:pt>
              </c:strCache>
            </c:strRef>
          </c:tx>
          <c:spPr>
            <a:solidFill>
              <a:schemeClr val="accent1"/>
            </a:solidFill>
            <a:ln>
              <a:noFill/>
            </a:ln>
            <a:effectLst/>
          </c:spPr>
          <c:invertIfNegative val="0"/>
          <c:cat>
            <c:strRef>
              <c:f>'Pivot 1'!$I$4:$I$16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1'!$J$4:$J$16</c:f>
              <c:numCache>
                <c:formatCode>General</c:formatCode>
                <c:ptCount val="12"/>
                <c:pt idx="0">
                  <c:v>2700</c:v>
                </c:pt>
                <c:pt idx="1">
                  <c:v>2800</c:v>
                </c:pt>
                <c:pt idx="2">
                  <c:v>2900</c:v>
                </c:pt>
                <c:pt idx="3">
                  <c:v>3000</c:v>
                </c:pt>
                <c:pt idx="4">
                  <c:v>2700</c:v>
                </c:pt>
                <c:pt idx="5">
                  <c:v>2713</c:v>
                </c:pt>
                <c:pt idx="6">
                  <c:v>2710</c:v>
                </c:pt>
                <c:pt idx="7">
                  <c:v>2600</c:v>
                </c:pt>
                <c:pt idx="8">
                  <c:v>2500</c:v>
                </c:pt>
                <c:pt idx="9">
                  <c:v>2400</c:v>
                </c:pt>
                <c:pt idx="10">
                  <c:v>2300</c:v>
                </c:pt>
                <c:pt idx="11">
                  <c:v>2210</c:v>
                </c:pt>
              </c:numCache>
            </c:numRef>
          </c:val>
          <c:extLst>
            <c:ext xmlns:c16="http://schemas.microsoft.com/office/drawing/2014/chart" uri="{C3380CC4-5D6E-409C-BE32-E72D297353CC}">
              <c16:uniqueId val="{00000000-891B-4B48-B7AD-14CA47662A17}"/>
            </c:ext>
          </c:extLst>
        </c:ser>
        <c:dLbls>
          <c:showLegendKey val="0"/>
          <c:showVal val="0"/>
          <c:showCatName val="0"/>
          <c:showSerName val="0"/>
          <c:showPercent val="0"/>
          <c:showBubbleSize val="0"/>
        </c:dLbls>
        <c:gapWidth val="219"/>
        <c:overlap val="-27"/>
        <c:axId val="350034560"/>
        <c:axId val="350037440"/>
      </c:barChart>
      <c:catAx>
        <c:axId val="35003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037440"/>
        <c:crosses val="autoZero"/>
        <c:auto val="1"/>
        <c:lblAlgn val="ctr"/>
        <c:lblOffset val="100"/>
        <c:noMultiLvlLbl val="0"/>
      </c:catAx>
      <c:valAx>
        <c:axId val="35003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03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gency FB" panose="020B0503020202020204" pitchFamily="34" charset="0"/>
                <a:ea typeface="+mn-ea"/>
                <a:cs typeface="+mn-cs"/>
              </a:defRPr>
            </a:pPr>
            <a:r>
              <a:rPr lang="en-US">
                <a:latin typeface="Agency FB" panose="020B0503020202020204" pitchFamily="34" charset="0"/>
              </a:rPr>
              <a:t>Saudis Vs Non-Saudis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gency FB" panose="020B0503020202020204" pitchFamily="34" charset="0"/>
              <a:ea typeface="+mn-ea"/>
              <a:cs typeface="+mn-cs"/>
            </a:defRPr>
          </a:pPr>
          <a:endParaRPr lang="en-US"/>
        </a:p>
      </c:txPr>
    </c:title>
    <c:autoTitleDeleted val="0"/>
    <c:plotArea>
      <c:layout>
        <c:manualLayout>
          <c:layoutTarget val="inner"/>
          <c:xMode val="edge"/>
          <c:yMode val="edge"/>
          <c:x val="5.8730893932376092E-2"/>
          <c:y val="0.14693611530881873"/>
          <c:w val="0.86512901420410671"/>
          <c:h val="0.79230670661116842"/>
        </c:manualLayout>
      </c:layout>
      <c:pieChart>
        <c:varyColors val="1"/>
        <c:ser>
          <c:idx val="0"/>
          <c:order val="0"/>
          <c:tx>
            <c:strRef>
              <c:f>'Dashboard 1'!$V$3</c:f>
              <c:strCache>
                <c:ptCount val="1"/>
                <c:pt idx="0">
                  <c:v>Dec</c:v>
                </c:pt>
              </c:strCache>
            </c:strRef>
          </c:tx>
          <c:dPt>
            <c:idx val="0"/>
            <c:bubble3D val="0"/>
            <c:spPr>
              <a:solidFill>
                <a:schemeClr val="tx2">
                  <a:lumMod val="75000"/>
                </a:schemeClr>
              </a:solidFill>
              <a:ln w="19050">
                <a:solidFill>
                  <a:schemeClr val="lt1"/>
                </a:solidFill>
              </a:ln>
              <a:effectLst/>
            </c:spPr>
            <c:extLst>
              <c:ext xmlns:c16="http://schemas.microsoft.com/office/drawing/2014/chart" uri="{C3380CC4-5D6E-409C-BE32-E72D297353CC}">
                <c16:uniqueId val="{00000001-F8D7-42BB-ADF5-F9A1F7DC7CE9}"/>
              </c:ext>
            </c:extLst>
          </c:dPt>
          <c:dPt>
            <c:idx val="1"/>
            <c:bubble3D val="0"/>
            <c:spPr>
              <a:solidFill>
                <a:srgbClr val="008080"/>
              </a:solidFill>
              <a:ln w="19050">
                <a:solidFill>
                  <a:schemeClr val="lt1"/>
                </a:solidFill>
              </a:ln>
              <a:effectLst/>
            </c:spPr>
            <c:extLst>
              <c:ext xmlns:c16="http://schemas.microsoft.com/office/drawing/2014/chart" uri="{C3380CC4-5D6E-409C-BE32-E72D297353CC}">
                <c16:uniqueId val="{00000002-F8D7-42BB-ADF5-F9A1F7DC7CE9}"/>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Agency FB" panose="020B0503020202020204" pitchFamily="34" charset="0"/>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1'!$W$2:$X$2</c:f>
              <c:strCache>
                <c:ptCount val="2"/>
                <c:pt idx="0">
                  <c:v>Saudis</c:v>
                </c:pt>
                <c:pt idx="1">
                  <c:v>Non-Saudis</c:v>
                </c:pt>
              </c:strCache>
            </c:strRef>
          </c:cat>
          <c:val>
            <c:numRef>
              <c:f>'Dashboard 1'!$W$3:$X$3</c:f>
              <c:numCache>
                <c:formatCode>General</c:formatCode>
                <c:ptCount val="2"/>
                <c:pt idx="0">
                  <c:v>990</c:v>
                </c:pt>
                <c:pt idx="1">
                  <c:v>2210</c:v>
                </c:pt>
              </c:numCache>
            </c:numRef>
          </c:val>
          <c:extLst>
            <c:ext xmlns:c16="http://schemas.microsoft.com/office/drawing/2014/chart" uri="{C3380CC4-5D6E-409C-BE32-E72D297353CC}">
              <c16:uniqueId val="{00000000-F8D7-42BB-ADF5-F9A1F7DC7CE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008080"/>
              </a:solidFill>
              <a:ln>
                <a:noFill/>
              </a:ln>
              <a:effectLst/>
            </c:spPr>
            <c:extLst>
              <c:ext xmlns:c16="http://schemas.microsoft.com/office/drawing/2014/chart" uri="{C3380CC4-5D6E-409C-BE32-E72D297353CC}">
                <c16:uniqueId val="{00000001-32CE-4AF8-A9DC-0EAA1D19B01A}"/>
              </c:ext>
            </c:extLst>
          </c:dPt>
          <c:dPt>
            <c:idx val="1"/>
            <c:invertIfNegative val="0"/>
            <c:bubble3D val="0"/>
            <c:spPr>
              <a:solidFill>
                <a:schemeClr val="tx2"/>
              </a:solidFill>
              <a:ln>
                <a:noFill/>
              </a:ln>
              <a:effectLst/>
            </c:spPr>
            <c:extLst>
              <c:ext xmlns:c16="http://schemas.microsoft.com/office/drawing/2014/chart" uri="{C3380CC4-5D6E-409C-BE32-E72D297353CC}">
                <c16:uniqueId val="{00000002-32CE-4AF8-A9DC-0EAA1D19B01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90000"/>
                      </a:schemeClr>
                    </a:solidFill>
                    <a:latin typeface="Agency FB" panose="020B05030202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1'!$W$34:$X$34</c:f>
              <c:strCache>
                <c:ptCount val="2"/>
                <c:pt idx="0">
                  <c:v># Leavers</c:v>
                </c:pt>
                <c:pt idx="1">
                  <c:v># Joiners</c:v>
                </c:pt>
              </c:strCache>
            </c:strRef>
          </c:cat>
          <c:val>
            <c:numRef>
              <c:f>'Dashboard 1'!$W$35:$X$35</c:f>
              <c:numCache>
                <c:formatCode>General</c:formatCode>
                <c:ptCount val="2"/>
                <c:pt idx="0">
                  <c:v>230</c:v>
                </c:pt>
                <c:pt idx="1">
                  <c:v>266</c:v>
                </c:pt>
              </c:numCache>
            </c:numRef>
          </c:val>
          <c:extLst>
            <c:ext xmlns:c16="http://schemas.microsoft.com/office/drawing/2014/chart" uri="{C3380CC4-5D6E-409C-BE32-E72D297353CC}">
              <c16:uniqueId val="{00000000-32CE-4AF8-A9DC-0EAA1D19B01A}"/>
            </c:ext>
          </c:extLst>
        </c:ser>
        <c:dLbls>
          <c:showLegendKey val="0"/>
          <c:showVal val="0"/>
          <c:showCatName val="0"/>
          <c:showSerName val="0"/>
          <c:showPercent val="0"/>
          <c:showBubbleSize val="0"/>
        </c:dLbls>
        <c:gapWidth val="219"/>
        <c:overlap val="-27"/>
        <c:axId val="495086008"/>
        <c:axId val="406274160"/>
      </c:barChart>
      <c:catAx>
        <c:axId val="495086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gency FB" panose="020B0503020202020204" pitchFamily="34" charset="0"/>
                <a:ea typeface="+mn-ea"/>
                <a:cs typeface="+mn-cs"/>
              </a:defRPr>
            </a:pPr>
            <a:endParaRPr lang="en-US"/>
          </a:p>
        </c:txPr>
        <c:crossAx val="406274160"/>
        <c:crosses val="autoZero"/>
        <c:auto val="1"/>
        <c:lblAlgn val="ctr"/>
        <c:lblOffset val="100"/>
        <c:noMultiLvlLbl val="0"/>
      </c:catAx>
      <c:valAx>
        <c:axId val="406274160"/>
        <c:scaling>
          <c:orientation val="minMax"/>
        </c:scaling>
        <c:delete val="1"/>
        <c:axPos val="l"/>
        <c:numFmt formatCode="General" sourceLinked="1"/>
        <c:majorTickMark val="none"/>
        <c:minorTickMark val="none"/>
        <c:tickLblPos val="nextTo"/>
        <c:crossAx val="495086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tx2"/>
            </a:solidFill>
            <a:ln>
              <a:noFill/>
            </a:ln>
            <a:effectLst/>
          </c:spPr>
          <c:invertIfNegative val="0"/>
          <c:dPt>
            <c:idx val="0"/>
            <c:invertIfNegative val="0"/>
            <c:bubble3D val="0"/>
            <c:spPr>
              <a:solidFill>
                <a:srgbClr val="008080"/>
              </a:solidFill>
              <a:ln>
                <a:noFill/>
              </a:ln>
              <a:effectLst/>
            </c:spPr>
            <c:extLst>
              <c:ext xmlns:c16="http://schemas.microsoft.com/office/drawing/2014/chart" uri="{C3380CC4-5D6E-409C-BE32-E72D297353CC}">
                <c16:uniqueId val="{00000002-4C93-4BB2-83FA-5FED08289206}"/>
              </c:ext>
            </c:extLst>
          </c:dPt>
          <c:dPt>
            <c:idx val="1"/>
            <c:invertIfNegative val="0"/>
            <c:bubble3D val="0"/>
            <c:spPr>
              <a:solidFill>
                <a:schemeClr val="tx2"/>
              </a:solidFill>
              <a:ln>
                <a:noFill/>
              </a:ln>
              <a:effectLst/>
            </c:spPr>
            <c:extLst>
              <c:ext xmlns:c16="http://schemas.microsoft.com/office/drawing/2014/chart" uri="{C3380CC4-5D6E-409C-BE32-E72D297353CC}">
                <c16:uniqueId val="{00000001-4C93-4BB2-83FA-5FED0828920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90000"/>
                      </a:schemeClr>
                    </a:solidFill>
                    <a:latin typeface="Agency FB" panose="020B05030202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1'!$W$37:$X$37</c:f>
              <c:strCache>
                <c:ptCount val="2"/>
                <c:pt idx="0">
                  <c:v>High Performers</c:v>
                </c:pt>
                <c:pt idx="1">
                  <c:v>Low Performers</c:v>
                </c:pt>
              </c:strCache>
            </c:strRef>
          </c:cat>
          <c:val>
            <c:numRef>
              <c:f>'Dashboard 1'!$W$38:$X$38</c:f>
              <c:numCache>
                <c:formatCode>0%</c:formatCode>
                <c:ptCount val="2"/>
                <c:pt idx="0">
                  <c:v>0.05</c:v>
                </c:pt>
                <c:pt idx="1">
                  <c:v>0.9</c:v>
                </c:pt>
              </c:numCache>
            </c:numRef>
          </c:val>
          <c:extLst>
            <c:ext xmlns:c16="http://schemas.microsoft.com/office/drawing/2014/chart" uri="{C3380CC4-5D6E-409C-BE32-E72D297353CC}">
              <c16:uniqueId val="{00000000-4C93-4BB2-83FA-5FED08289206}"/>
            </c:ext>
          </c:extLst>
        </c:ser>
        <c:dLbls>
          <c:showLegendKey val="0"/>
          <c:showVal val="0"/>
          <c:showCatName val="0"/>
          <c:showSerName val="0"/>
          <c:showPercent val="0"/>
          <c:showBubbleSize val="0"/>
        </c:dLbls>
        <c:gapWidth val="219"/>
        <c:overlap val="-27"/>
        <c:axId val="896133944"/>
        <c:axId val="896132664"/>
      </c:barChart>
      <c:catAx>
        <c:axId val="896133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gency FB" panose="020B0503020202020204" pitchFamily="34" charset="0"/>
                <a:ea typeface="+mn-ea"/>
                <a:cs typeface="+mn-cs"/>
              </a:defRPr>
            </a:pPr>
            <a:endParaRPr lang="en-US"/>
          </a:p>
        </c:txPr>
        <c:crossAx val="896132664"/>
        <c:crosses val="autoZero"/>
        <c:auto val="1"/>
        <c:lblAlgn val="ctr"/>
        <c:lblOffset val="100"/>
        <c:noMultiLvlLbl val="0"/>
      </c:catAx>
      <c:valAx>
        <c:axId val="896132664"/>
        <c:scaling>
          <c:orientation val="minMax"/>
        </c:scaling>
        <c:delete val="1"/>
        <c:axPos val="l"/>
        <c:numFmt formatCode="0%" sourceLinked="1"/>
        <c:majorTickMark val="none"/>
        <c:minorTickMark val="none"/>
        <c:tickLblPos val="nextTo"/>
        <c:crossAx val="896133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gency FB" panose="020B0503020202020204" pitchFamily="34" charset="0"/>
                <a:ea typeface="+mn-ea"/>
                <a:cs typeface="+mn-cs"/>
              </a:defRPr>
            </a:pPr>
            <a:r>
              <a:rPr lang="en-US">
                <a:latin typeface="Agency FB" panose="020B0503020202020204" pitchFamily="34" charset="0"/>
              </a:rPr>
              <a:t>HR BudgetConsumption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gency FB" panose="020B0503020202020204" pitchFamily="34" charset="0"/>
              <a:ea typeface="+mn-ea"/>
              <a:cs typeface="+mn-cs"/>
            </a:defRPr>
          </a:pPr>
          <a:endParaRPr lang="en-US"/>
        </a:p>
      </c:txPr>
    </c:title>
    <c:autoTitleDeleted val="0"/>
    <c:plotArea>
      <c:layout>
        <c:manualLayout>
          <c:layoutTarget val="inner"/>
          <c:xMode val="edge"/>
          <c:yMode val="edge"/>
          <c:x val="4.9683830171635052E-2"/>
          <c:y val="0.24459459459459459"/>
          <c:w val="0.90063233965672995"/>
          <c:h val="0.69909909909909906"/>
        </c:manualLayout>
      </c:layout>
      <c:barChart>
        <c:barDir val="bar"/>
        <c:grouping val="stacked"/>
        <c:varyColors val="0"/>
        <c:ser>
          <c:idx val="0"/>
          <c:order val="0"/>
          <c:spPr>
            <a:solidFill>
              <a:schemeClr val="accent1"/>
            </a:solidFill>
            <a:ln>
              <a:solidFill>
                <a:schemeClr val="bg2">
                  <a:lumMod val="90000"/>
                </a:schemeClr>
              </a:solidFill>
            </a:ln>
            <a:effectLst>
              <a:outerShdw blurRad="50800" dist="38100" dir="5400000" algn="t" rotWithShape="0">
                <a:prstClr val="black">
                  <a:alpha val="40000"/>
                </a:prstClr>
              </a:outerShdw>
            </a:effectLst>
          </c:spPr>
          <c:invertIfNegative val="0"/>
          <c:dPt>
            <c:idx val="0"/>
            <c:invertIfNegative val="0"/>
            <c:bubble3D val="0"/>
            <c:spPr>
              <a:solidFill>
                <a:srgbClr val="006666"/>
              </a:solidFill>
              <a:ln>
                <a:no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2-909A-4380-9D21-F2E170F65C8F}"/>
              </c:ext>
            </c:extLst>
          </c:dPt>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Agency FB" panose="020B0503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'Dashboard 1'!$Y$27</c:f>
              <c:numCache>
                <c:formatCode>0%</c:formatCode>
                <c:ptCount val="1"/>
                <c:pt idx="0">
                  <c:v>1</c:v>
                </c:pt>
              </c:numCache>
            </c:numRef>
          </c:val>
          <c:extLst>
            <c:ext xmlns:c16="http://schemas.microsoft.com/office/drawing/2014/chart" uri="{C3380CC4-5D6E-409C-BE32-E72D297353CC}">
              <c16:uniqueId val="{00000000-909A-4380-9D21-F2E170F65C8F}"/>
            </c:ext>
          </c:extLst>
        </c:ser>
        <c:ser>
          <c:idx val="1"/>
          <c:order val="1"/>
          <c:spPr>
            <a:pattFill prst="pct5">
              <a:fgClr>
                <a:schemeClr val="tx1">
                  <a:lumMod val="50000"/>
                  <a:lumOff val="50000"/>
                </a:schemeClr>
              </a:fgClr>
              <a:bgClr>
                <a:schemeClr val="bg1"/>
              </a:bgClr>
            </a:pattFill>
            <a:ln>
              <a:solidFill>
                <a:schemeClr val="bg2">
                  <a:lumMod val="90000"/>
                </a:schemeClr>
              </a:solidFill>
            </a:ln>
            <a:effectLst>
              <a:outerShdw blurRad="50800" dist="38100" dir="5400000" algn="t" rotWithShape="0">
                <a:prstClr val="black">
                  <a:alpha val="40000"/>
                </a:prstClr>
              </a:outerShdw>
            </a:effectLst>
          </c:spPr>
          <c:invertIfNegative val="0"/>
          <c:dPt>
            <c:idx val="0"/>
            <c:invertIfNegative val="0"/>
            <c:bubble3D val="0"/>
            <c:spPr>
              <a:pattFill prst="pct25">
                <a:fgClr>
                  <a:schemeClr val="tx1">
                    <a:lumMod val="50000"/>
                    <a:lumOff val="50000"/>
                  </a:schemeClr>
                </a:fgClr>
                <a:bgClr>
                  <a:schemeClr val="bg1"/>
                </a:bgClr>
              </a:pattFill>
              <a:ln>
                <a:no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3-909A-4380-9D21-F2E170F65C8F}"/>
              </c:ext>
            </c:extLst>
          </c:dPt>
          <c:val>
            <c:numRef>
              <c:f>'Dashboard 1'!$Z$27</c:f>
              <c:numCache>
                <c:formatCode>0%</c:formatCode>
                <c:ptCount val="1"/>
                <c:pt idx="0">
                  <c:v>0</c:v>
                </c:pt>
              </c:numCache>
            </c:numRef>
          </c:val>
          <c:extLst>
            <c:ext xmlns:c16="http://schemas.microsoft.com/office/drawing/2014/chart" uri="{C3380CC4-5D6E-409C-BE32-E72D297353CC}">
              <c16:uniqueId val="{00000001-909A-4380-9D21-F2E170F65C8F}"/>
            </c:ext>
          </c:extLst>
        </c:ser>
        <c:dLbls>
          <c:showLegendKey val="0"/>
          <c:showVal val="0"/>
          <c:showCatName val="0"/>
          <c:showSerName val="0"/>
          <c:showPercent val="0"/>
          <c:showBubbleSize val="0"/>
        </c:dLbls>
        <c:gapWidth val="27"/>
        <c:overlap val="100"/>
        <c:axId val="756995000"/>
        <c:axId val="756999800"/>
      </c:barChart>
      <c:catAx>
        <c:axId val="756995000"/>
        <c:scaling>
          <c:orientation val="minMax"/>
        </c:scaling>
        <c:delete val="1"/>
        <c:axPos val="l"/>
        <c:numFmt formatCode="General" sourceLinked="1"/>
        <c:majorTickMark val="none"/>
        <c:minorTickMark val="none"/>
        <c:tickLblPos val="nextTo"/>
        <c:crossAx val="756999800"/>
        <c:crosses val="autoZero"/>
        <c:auto val="1"/>
        <c:lblAlgn val="ctr"/>
        <c:lblOffset val="100"/>
        <c:noMultiLvlLbl val="0"/>
      </c:catAx>
      <c:valAx>
        <c:axId val="756999800"/>
        <c:scaling>
          <c:orientation val="minMax"/>
          <c:max val="1"/>
          <c:min val="0"/>
        </c:scaling>
        <c:delete val="1"/>
        <c:axPos val="b"/>
        <c:numFmt formatCode="0%" sourceLinked="1"/>
        <c:majorTickMark val="none"/>
        <c:minorTickMark val="none"/>
        <c:tickLblPos val="nextTo"/>
        <c:crossAx val="756995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6737967914438502E-2"/>
          <c:y val="4.5702631765623884E-2"/>
          <c:w val="0.91973205889370779"/>
          <c:h val="0.9296751081790452"/>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329-4088-BD04-C808D5E4A9E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329-4088-BD04-C808D5E4A9E9}"/>
              </c:ext>
            </c:extLst>
          </c:dPt>
          <c:val>
            <c:numRef>
              <c:f>'Dashboard 1'!$AA$26:$AB$26</c:f>
              <c:numCache>
                <c:formatCode>General</c:formatCode>
                <c:ptCount val="2"/>
                <c:pt idx="0">
                  <c:v>0</c:v>
                </c:pt>
              </c:numCache>
            </c:numRef>
          </c:val>
          <c:extLst>
            <c:ext xmlns:c16="http://schemas.microsoft.com/office/drawing/2014/chart" uri="{C3380CC4-5D6E-409C-BE32-E72D297353CC}">
              <c16:uniqueId val="{00000000-2A1B-4DF8-8DCA-FD8982BDF60E}"/>
            </c:ext>
          </c:extLst>
        </c:ser>
        <c:ser>
          <c:idx val="1"/>
          <c:order val="1"/>
          <c:dPt>
            <c:idx val="0"/>
            <c:bubble3D val="0"/>
            <c:spPr>
              <a:solidFill>
                <a:srgbClr val="006666"/>
              </a:solidFill>
              <a:ln w="19050">
                <a:solidFill>
                  <a:schemeClr val="lt1"/>
                </a:solidFill>
              </a:ln>
              <a:effectLst/>
            </c:spPr>
            <c:extLst>
              <c:ext xmlns:c16="http://schemas.microsoft.com/office/drawing/2014/chart" uri="{C3380CC4-5D6E-409C-BE32-E72D297353CC}">
                <c16:uniqueId val="{00000002-2A1B-4DF8-8DCA-FD8982BDF60E}"/>
              </c:ext>
            </c:extLst>
          </c:dPt>
          <c:dPt>
            <c:idx val="1"/>
            <c:bubble3D val="0"/>
            <c:spPr>
              <a:pattFill prst="pct25">
                <a:fgClr>
                  <a:schemeClr val="tx1">
                    <a:lumMod val="50000"/>
                    <a:lumOff val="50000"/>
                  </a:schemeClr>
                </a:fgClr>
                <a:bgClr>
                  <a:schemeClr val="bg1"/>
                </a:bgClr>
              </a:pattFill>
              <a:ln w="19050">
                <a:solidFill>
                  <a:schemeClr val="lt1"/>
                </a:solidFill>
              </a:ln>
              <a:effectLst/>
            </c:spPr>
            <c:extLst>
              <c:ext xmlns:c16="http://schemas.microsoft.com/office/drawing/2014/chart" uri="{C3380CC4-5D6E-409C-BE32-E72D297353CC}">
                <c16:uniqueId val="{00000003-2A1B-4DF8-8DCA-FD8982BDF60E}"/>
              </c:ext>
            </c:extLst>
          </c:dPt>
          <c:dLbls>
            <c:dLbl>
              <c:idx val="0"/>
              <c:layout>
                <c:manualLayout>
                  <c:x val="-0.10124610591900311"/>
                  <c:y val="0.36936936936936937"/>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rgbClr val="006666"/>
                      </a:solidFill>
                      <a:latin typeface="Agency FB" panose="020B0503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53088036892584689"/>
                      <c:h val="0.29094630063134003"/>
                    </c:manualLayout>
                  </c15:layout>
                </c:ext>
                <c:ext xmlns:c16="http://schemas.microsoft.com/office/drawing/2014/chart" uri="{C3380CC4-5D6E-409C-BE32-E72D297353CC}">
                  <c16:uniqueId val="{00000002-2A1B-4DF8-8DCA-FD8982BDF60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6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'Dashboard 1'!$AA$27:$AB$27</c:f>
              <c:numCache>
                <c:formatCode>_(* #,##0_);_(* \(#,##0\);_(* "-"??_);_(@_)</c:formatCode>
                <c:ptCount val="2"/>
                <c:pt idx="0" formatCode="General">
                  <c:v>291</c:v>
                </c:pt>
                <c:pt idx="1">
                  <c:v>2909</c:v>
                </c:pt>
              </c:numCache>
            </c:numRef>
          </c:val>
          <c:extLst>
            <c:ext xmlns:c16="http://schemas.microsoft.com/office/drawing/2014/chart" uri="{C3380CC4-5D6E-409C-BE32-E72D297353CC}">
              <c16:uniqueId val="{00000001-2A1B-4DF8-8DCA-FD8982BDF60E}"/>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2735042735042736E-2"/>
          <c:y val="0.26832164596446723"/>
          <c:w val="0.8820065105498176"/>
          <c:h val="0.67612306440418357"/>
        </c:manualLayout>
      </c:layout>
      <c:barChart>
        <c:barDir val="col"/>
        <c:grouping val="stacked"/>
        <c:varyColors val="0"/>
        <c:ser>
          <c:idx val="1"/>
          <c:order val="0"/>
          <c:spPr>
            <a:pattFill prst="pct25">
              <a:fgClr>
                <a:schemeClr val="tx1">
                  <a:lumMod val="50000"/>
                  <a:lumOff val="50000"/>
                </a:schemeClr>
              </a:fgClr>
              <a:bgClr>
                <a:schemeClr val="bg1"/>
              </a:bgClr>
            </a:pattFill>
            <a:ln>
              <a:noFill/>
            </a:ln>
            <a:effectLst/>
          </c:spPr>
          <c:invertIfNegative val="0"/>
          <c:val>
            <c:numRef>
              <c:f>'Dashboard 1'!$AE$25</c:f>
              <c:numCache>
                <c:formatCode>General</c:formatCode>
                <c:ptCount val="1"/>
                <c:pt idx="0">
                  <c:v>12</c:v>
                </c:pt>
              </c:numCache>
            </c:numRef>
          </c:val>
          <c:extLst>
            <c:ext xmlns:c16="http://schemas.microsoft.com/office/drawing/2014/chart" uri="{C3380CC4-5D6E-409C-BE32-E72D297353CC}">
              <c16:uniqueId val="{00000001-3D95-4265-B719-945C229B136D}"/>
            </c:ext>
          </c:extLst>
        </c:ser>
        <c:ser>
          <c:idx val="2"/>
          <c:order val="1"/>
          <c:spPr>
            <a:solidFill>
              <a:srgbClr val="006666"/>
            </a:solidFill>
            <a:ln>
              <a:noFill/>
            </a:ln>
            <a:effectLst/>
          </c:spPr>
          <c:invertIfNegative val="0"/>
          <c:val>
            <c:numRef>
              <c:f>'Dashboard 1'!$AE$26</c:f>
              <c:numCache>
                <c:formatCode>General</c:formatCode>
                <c:ptCount val="1"/>
                <c:pt idx="0">
                  <c:v>5</c:v>
                </c:pt>
              </c:numCache>
            </c:numRef>
          </c:val>
          <c:extLst>
            <c:ext xmlns:c16="http://schemas.microsoft.com/office/drawing/2014/chart" uri="{C3380CC4-5D6E-409C-BE32-E72D297353CC}">
              <c16:uniqueId val="{00000002-3D95-4265-B719-945C229B136D}"/>
            </c:ext>
          </c:extLst>
        </c:ser>
        <c:ser>
          <c:idx val="3"/>
          <c:order val="2"/>
          <c:spPr>
            <a:pattFill prst="pct25">
              <a:fgClr>
                <a:schemeClr val="tx1">
                  <a:lumMod val="50000"/>
                  <a:lumOff val="50000"/>
                </a:schemeClr>
              </a:fgClr>
              <a:bgClr>
                <a:schemeClr val="bg1"/>
              </a:bgClr>
            </a:pattFill>
            <a:ln>
              <a:noFill/>
            </a:ln>
            <a:effectLst/>
          </c:spPr>
          <c:invertIfNegative val="0"/>
          <c:val>
            <c:numRef>
              <c:f>'Dashboard 1'!$AE$27</c:f>
              <c:numCache>
                <c:formatCode>General</c:formatCode>
                <c:ptCount val="1"/>
                <c:pt idx="0">
                  <c:v>30</c:v>
                </c:pt>
              </c:numCache>
            </c:numRef>
          </c:val>
          <c:extLst>
            <c:ext xmlns:c16="http://schemas.microsoft.com/office/drawing/2014/chart" uri="{C3380CC4-5D6E-409C-BE32-E72D297353CC}">
              <c16:uniqueId val="{00000003-3D95-4265-B719-945C229B136D}"/>
            </c:ext>
          </c:extLst>
        </c:ser>
        <c:dLbls>
          <c:showLegendKey val="0"/>
          <c:showVal val="0"/>
          <c:showCatName val="0"/>
          <c:showSerName val="0"/>
          <c:showPercent val="0"/>
          <c:showBubbleSize val="0"/>
        </c:dLbls>
        <c:gapWidth val="39"/>
        <c:overlap val="100"/>
        <c:axId val="588364112"/>
        <c:axId val="588362832"/>
      </c:barChart>
      <c:catAx>
        <c:axId val="588364112"/>
        <c:scaling>
          <c:orientation val="minMax"/>
        </c:scaling>
        <c:delete val="1"/>
        <c:axPos val="b"/>
        <c:majorTickMark val="none"/>
        <c:minorTickMark val="none"/>
        <c:tickLblPos val="nextTo"/>
        <c:crossAx val="588362832"/>
        <c:crosses val="autoZero"/>
        <c:auto val="1"/>
        <c:lblAlgn val="ctr"/>
        <c:lblOffset val="100"/>
        <c:noMultiLvlLbl val="0"/>
      </c:catAx>
      <c:valAx>
        <c:axId val="588362832"/>
        <c:scaling>
          <c:orientation val="minMax"/>
        </c:scaling>
        <c:delete val="1"/>
        <c:axPos val="l"/>
        <c:numFmt formatCode="General" sourceLinked="1"/>
        <c:majorTickMark val="out"/>
        <c:minorTickMark val="none"/>
        <c:tickLblPos val="nextTo"/>
        <c:crossAx val="588364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25686495070468"/>
          <c:y val="0"/>
          <c:w val="0.77748627009859061"/>
          <c:h val="1"/>
        </c:manualLayout>
      </c:layout>
      <c:doughnutChart>
        <c:varyColors val="1"/>
        <c:ser>
          <c:idx val="1"/>
          <c:order val="0"/>
          <c:spPr>
            <a:solidFill>
              <a:schemeClr val="tx2">
                <a:lumMod val="20000"/>
                <a:lumOff val="80000"/>
              </a:schemeClr>
            </a:solidFill>
          </c:spPr>
          <c:dPt>
            <c:idx val="0"/>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1-2B25-4B0F-8A48-D43EC468184D}"/>
              </c:ext>
            </c:extLst>
          </c:dPt>
          <c:dPt>
            <c:idx val="1"/>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3-2B25-4B0F-8A48-D43EC468184D}"/>
              </c:ext>
            </c:extLst>
          </c:dPt>
          <c:dPt>
            <c:idx val="2"/>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5-2B25-4B0F-8A48-D43EC468184D}"/>
              </c:ext>
            </c:extLst>
          </c:dPt>
          <c:dPt>
            <c:idx val="3"/>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7-2B25-4B0F-8A48-D43EC468184D}"/>
              </c:ext>
            </c:extLst>
          </c:dPt>
          <c:dPt>
            <c:idx val="4"/>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9-2B25-4B0F-8A48-D43EC468184D}"/>
              </c:ext>
            </c:extLst>
          </c:dPt>
          <c:dPt>
            <c:idx val="5"/>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B-2B25-4B0F-8A48-D43EC468184D}"/>
              </c:ext>
            </c:extLst>
          </c:dPt>
          <c:dPt>
            <c:idx val="6"/>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D-2B25-4B0F-8A48-D43EC468184D}"/>
              </c:ext>
            </c:extLst>
          </c:dPt>
          <c:dPt>
            <c:idx val="7"/>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F-2B25-4B0F-8A48-D43EC468184D}"/>
              </c:ext>
            </c:extLst>
          </c:dPt>
          <c:dPt>
            <c:idx val="8"/>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11-2B25-4B0F-8A48-D43EC468184D}"/>
              </c:ext>
            </c:extLst>
          </c:dPt>
          <c:dPt>
            <c:idx val="9"/>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13-2B25-4B0F-8A48-D43EC468184D}"/>
              </c:ext>
            </c:extLst>
          </c:dPt>
          <c:dPt>
            <c:idx val="10"/>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15-2B25-4B0F-8A48-D43EC468184D}"/>
              </c:ext>
            </c:extLst>
          </c:dPt>
          <c:dPt>
            <c:idx val="11"/>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17-2B25-4B0F-8A48-D43EC468184D}"/>
              </c:ext>
            </c:extLst>
          </c:dPt>
          <c:dPt>
            <c:idx val="12"/>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19-2B25-4B0F-8A48-D43EC468184D}"/>
              </c:ext>
            </c:extLst>
          </c:dPt>
          <c:dPt>
            <c:idx val="13"/>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1B-2B25-4B0F-8A48-D43EC468184D}"/>
              </c:ext>
            </c:extLst>
          </c:dPt>
          <c:dPt>
            <c:idx val="14"/>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1D-2B25-4B0F-8A48-D43EC468184D}"/>
              </c:ext>
            </c:extLst>
          </c:dPt>
          <c:dPt>
            <c:idx val="15"/>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1F-2B25-4B0F-8A48-D43EC468184D}"/>
              </c:ext>
            </c:extLst>
          </c:dPt>
          <c:dPt>
            <c:idx val="16"/>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21-2B25-4B0F-8A48-D43EC468184D}"/>
              </c:ext>
            </c:extLst>
          </c:dPt>
          <c:dPt>
            <c:idx val="17"/>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23-2B25-4B0F-8A48-D43EC468184D}"/>
              </c:ext>
            </c:extLst>
          </c:dPt>
          <c:dPt>
            <c:idx val="18"/>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25-2B25-4B0F-8A48-D43EC468184D}"/>
              </c:ext>
            </c:extLst>
          </c:dPt>
          <c:dPt>
            <c:idx val="19"/>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27-2B25-4B0F-8A48-D43EC468184D}"/>
              </c:ext>
            </c:extLst>
          </c:dPt>
          <c:val>
            <c:numRef>
              <c:f>'Dashboard 1'!$AB$39:$AB$58</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Cache>
            </c:numRef>
          </c:val>
          <c:extLst>
            <c:ext xmlns:c16="http://schemas.microsoft.com/office/drawing/2014/chart" uri="{C3380CC4-5D6E-409C-BE32-E72D297353CC}">
              <c16:uniqueId val="{00000001-C831-4AD5-8B0A-08616A9E780E}"/>
            </c:ext>
          </c:extLst>
        </c:ser>
        <c:dLbls>
          <c:showLegendKey val="0"/>
          <c:showVal val="0"/>
          <c:showCatName val="0"/>
          <c:showSerName val="0"/>
          <c:showPercent val="0"/>
          <c:showBubbleSize val="0"/>
          <c:showLeaderLines val="1"/>
        </c:dLbls>
        <c:firstSliceAng val="0"/>
        <c:holeSize val="75"/>
      </c:doughnutChart>
      <c:doughnutChart>
        <c:varyColors val="1"/>
        <c:ser>
          <c:idx val="0"/>
          <c:order val="1"/>
          <c:dPt>
            <c:idx val="0"/>
            <c:bubble3D val="0"/>
            <c:spPr>
              <a:solidFill>
                <a:srgbClr val="008080"/>
              </a:solidFill>
              <a:ln w="19050">
                <a:solidFill>
                  <a:schemeClr val="lt1"/>
                </a:solidFill>
              </a:ln>
              <a:effectLst/>
            </c:spPr>
            <c:extLst>
              <c:ext xmlns:c16="http://schemas.microsoft.com/office/drawing/2014/chart" uri="{C3380CC4-5D6E-409C-BE32-E72D297353CC}">
                <c16:uniqueId val="{00000005-C831-4AD5-8B0A-08616A9E780E}"/>
              </c:ext>
            </c:extLst>
          </c:dPt>
          <c:dPt>
            <c:idx val="1"/>
            <c:bubble3D val="0"/>
            <c:spPr>
              <a:noFill/>
              <a:ln w="19050">
                <a:solidFill>
                  <a:schemeClr val="lt1"/>
                </a:solidFill>
              </a:ln>
              <a:effectLst/>
            </c:spPr>
            <c:extLst>
              <c:ext xmlns:c16="http://schemas.microsoft.com/office/drawing/2014/chart" uri="{C3380CC4-5D6E-409C-BE32-E72D297353CC}">
                <c16:uniqueId val="{00000004-C831-4AD5-8B0A-08616A9E780E}"/>
              </c:ext>
            </c:extLst>
          </c:dPt>
          <c:val>
            <c:numRef>
              <c:f>'Dashboard 1'!$X$44:$Y$44</c:f>
              <c:numCache>
                <c:formatCode>0%</c:formatCode>
                <c:ptCount val="2"/>
                <c:pt idx="0">
                  <c:v>0.33</c:v>
                </c:pt>
                <c:pt idx="1">
                  <c:v>0.66999999999999993</c:v>
                </c:pt>
              </c:numCache>
            </c:numRef>
          </c:val>
          <c:extLst>
            <c:ext xmlns:c16="http://schemas.microsoft.com/office/drawing/2014/chart" uri="{C3380CC4-5D6E-409C-BE32-E72D297353CC}">
              <c16:uniqueId val="{00000003-C831-4AD5-8B0A-08616A9E780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25686495070468"/>
          <c:y val="0"/>
          <c:w val="0.77748627009859061"/>
          <c:h val="1"/>
        </c:manualLayout>
      </c:layout>
      <c:doughnutChart>
        <c:varyColors val="1"/>
        <c:ser>
          <c:idx val="1"/>
          <c:order val="0"/>
          <c:spPr>
            <a:solidFill>
              <a:schemeClr val="tx2">
                <a:lumMod val="20000"/>
                <a:lumOff val="80000"/>
              </a:schemeClr>
            </a:solidFill>
          </c:spPr>
          <c:dPt>
            <c:idx val="0"/>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1-0924-4277-9E97-0B2DBB464762}"/>
              </c:ext>
            </c:extLst>
          </c:dPt>
          <c:dPt>
            <c:idx val="1"/>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3-0924-4277-9E97-0B2DBB464762}"/>
              </c:ext>
            </c:extLst>
          </c:dPt>
          <c:dPt>
            <c:idx val="2"/>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5-0924-4277-9E97-0B2DBB464762}"/>
              </c:ext>
            </c:extLst>
          </c:dPt>
          <c:dPt>
            <c:idx val="3"/>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7-0924-4277-9E97-0B2DBB464762}"/>
              </c:ext>
            </c:extLst>
          </c:dPt>
          <c:dPt>
            <c:idx val="4"/>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9-0924-4277-9E97-0B2DBB464762}"/>
              </c:ext>
            </c:extLst>
          </c:dPt>
          <c:dPt>
            <c:idx val="5"/>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B-0924-4277-9E97-0B2DBB464762}"/>
              </c:ext>
            </c:extLst>
          </c:dPt>
          <c:dPt>
            <c:idx val="6"/>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D-0924-4277-9E97-0B2DBB464762}"/>
              </c:ext>
            </c:extLst>
          </c:dPt>
          <c:dPt>
            <c:idx val="7"/>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F-0924-4277-9E97-0B2DBB464762}"/>
              </c:ext>
            </c:extLst>
          </c:dPt>
          <c:dPt>
            <c:idx val="8"/>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11-0924-4277-9E97-0B2DBB464762}"/>
              </c:ext>
            </c:extLst>
          </c:dPt>
          <c:dPt>
            <c:idx val="9"/>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13-0924-4277-9E97-0B2DBB464762}"/>
              </c:ext>
            </c:extLst>
          </c:dPt>
          <c:dPt>
            <c:idx val="10"/>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15-0924-4277-9E97-0B2DBB464762}"/>
              </c:ext>
            </c:extLst>
          </c:dPt>
          <c:dPt>
            <c:idx val="11"/>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17-0924-4277-9E97-0B2DBB464762}"/>
              </c:ext>
            </c:extLst>
          </c:dPt>
          <c:dPt>
            <c:idx val="12"/>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19-0924-4277-9E97-0B2DBB464762}"/>
              </c:ext>
            </c:extLst>
          </c:dPt>
          <c:dPt>
            <c:idx val="13"/>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1B-0924-4277-9E97-0B2DBB464762}"/>
              </c:ext>
            </c:extLst>
          </c:dPt>
          <c:dPt>
            <c:idx val="14"/>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1D-0924-4277-9E97-0B2DBB464762}"/>
              </c:ext>
            </c:extLst>
          </c:dPt>
          <c:dPt>
            <c:idx val="15"/>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1F-0924-4277-9E97-0B2DBB464762}"/>
              </c:ext>
            </c:extLst>
          </c:dPt>
          <c:dPt>
            <c:idx val="16"/>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21-0924-4277-9E97-0B2DBB464762}"/>
              </c:ext>
            </c:extLst>
          </c:dPt>
          <c:dPt>
            <c:idx val="17"/>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23-0924-4277-9E97-0B2DBB464762}"/>
              </c:ext>
            </c:extLst>
          </c:dPt>
          <c:dPt>
            <c:idx val="18"/>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25-0924-4277-9E97-0B2DBB464762}"/>
              </c:ext>
            </c:extLst>
          </c:dPt>
          <c:dPt>
            <c:idx val="19"/>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27-0924-4277-9E97-0B2DBB464762}"/>
              </c:ext>
            </c:extLst>
          </c:dPt>
          <c:val>
            <c:numRef>
              <c:f>'Dashboard 1'!$AB$39:$AB$58</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Cache>
            </c:numRef>
          </c:val>
          <c:extLst>
            <c:ext xmlns:c16="http://schemas.microsoft.com/office/drawing/2014/chart" uri="{C3380CC4-5D6E-409C-BE32-E72D297353CC}">
              <c16:uniqueId val="{00000028-0924-4277-9E97-0B2DBB464762}"/>
            </c:ext>
          </c:extLst>
        </c:ser>
        <c:dLbls>
          <c:showLegendKey val="0"/>
          <c:showVal val="0"/>
          <c:showCatName val="0"/>
          <c:showSerName val="0"/>
          <c:showPercent val="0"/>
          <c:showBubbleSize val="0"/>
          <c:showLeaderLines val="1"/>
        </c:dLbls>
        <c:firstSliceAng val="0"/>
        <c:holeSize val="75"/>
      </c:doughnutChart>
      <c:doughnutChart>
        <c:varyColors val="1"/>
        <c:ser>
          <c:idx val="0"/>
          <c:order val="1"/>
          <c:dPt>
            <c:idx val="0"/>
            <c:bubble3D val="0"/>
            <c:spPr>
              <a:solidFill>
                <a:srgbClr val="008080"/>
              </a:solidFill>
              <a:ln w="19050">
                <a:solidFill>
                  <a:schemeClr val="lt1"/>
                </a:solidFill>
              </a:ln>
              <a:effectLst/>
            </c:spPr>
            <c:extLst>
              <c:ext xmlns:c16="http://schemas.microsoft.com/office/drawing/2014/chart" uri="{C3380CC4-5D6E-409C-BE32-E72D297353CC}">
                <c16:uniqueId val="{0000002A-0924-4277-9E97-0B2DBB464762}"/>
              </c:ext>
            </c:extLst>
          </c:dPt>
          <c:dPt>
            <c:idx val="1"/>
            <c:bubble3D val="0"/>
            <c:spPr>
              <a:noFill/>
              <a:ln w="19050">
                <a:solidFill>
                  <a:schemeClr val="lt1"/>
                </a:solidFill>
              </a:ln>
              <a:effectLst/>
            </c:spPr>
            <c:extLst>
              <c:ext xmlns:c16="http://schemas.microsoft.com/office/drawing/2014/chart" uri="{C3380CC4-5D6E-409C-BE32-E72D297353CC}">
                <c16:uniqueId val="{0000002C-0924-4277-9E97-0B2DBB464762}"/>
              </c:ext>
            </c:extLst>
          </c:dPt>
          <c:val>
            <c:numRef>
              <c:f>'Dashboard 1'!$X$45:$Y$45</c:f>
              <c:numCache>
                <c:formatCode>0%</c:formatCode>
                <c:ptCount val="2"/>
                <c:pt idx="0">
                  <c:v>0.86</c:v>
                </c:pt>
                <c:pt idx="1">
                  <c:v>0.14000000000000001</c:v>
                </c:pt>
              </c:numCache>
            </c:numRef>
          </c:val>
          <c:extLst>
            <c:ext xmlns:c16="http://schemas.microsoft.com/office/drawing/2014/chart" uri="{C3380CC4-5D6E-409C-BE32-E72D297353CC}">
              <c16:uniqueId val="{0000002D-0924-4277-9E97-0B2DBB46476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25686495070468"/>
          <c:y val="0"/>
          <c:w val="0.77748627009859061"/>
          <c:h val="1"/>
        </c:manualLayout>
      </c:layout>
      <c:doughnutChart>
        <c:varyColors val="1"/>
        <c:ser>
          <c:idx val="1"/>
          <c:order val="0"/>
          <c:spPr>
            <a:solidFill>
              <a:schemeClr val="tx2">
                <a:lumMod val="20000"/>
                <a:lumOff val="80000"/>
              </a:schemeClr>
            </a:solidFill>
          </c:spPr>
          <c:dPt>
            <c:idx val="0"/>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1-A749-4E8F-B104-5D50CBC43BDB}"/>
              </c:ext>
            </c:extLst>
          </c:dPt>
          <c:dPt>
            <c:idx val="1"/>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3-A749-4E8F-B104-5D50CBC43BDB}"/>
              </c:ext>
            </c:extLst>
          </c:dPt>
          <c:dPt>
            <c:idx val="2"/>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5-A749-4E8F-B104-5D50CBC43BDB}"/>
              </c:ext>
            </c:extLst>
          </c:dPt>
          <c:dPt>
            <c:idx val="3"/>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7-A749-4E8F-B104-5D50CBC43BDB}"/>
              </c:ext>
            </c:extLst>
          </c:dPt>
          <c:dPt>
            <c:idx val="4"/>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9-A749-4E8F-B104-5D50CBC43BDB}"/>
              </c:ext>
            </c:extLst>
          </c:dPt>
          <c:dPt>
            <c:idx val="5"/>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B-A749-4E8F-B104-5D50CBC43BDB}"/>
              </c:ext>
            </c:extLst>
          </c:dPt>
          <c:dPt>
            <c:idx val="6"/>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D-A749-4E8F-B104-5D50CBC43BDB}"/>
              </c:ext>
            </c:extLst>
          </c:dPt>
          <c:dPt>
            <c:idx val="7"/>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F-A749-4E8F-B104-5D50CBC43BDB}"/>
              </c:ext>
            </c:extLst>
          </c:dPt>
          <c:dPt>
            <c:idx val="8"/>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11-A749-4E8F-B104-5D50CBC43BDB}"/>
              </c:ext>
            </c:extLst>
          </c:dPt>
          <c:dPt>
            <c:idx val="9"/>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13-A749-4E8F-B104-5D50CBC43BDB}"/>
              </c:ext>
            </c:extLst>
          </c:dPt>
          <c:dPt>
            <c:idx val="10"/>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15-A749-4E8F-B104-5D50CBC43BDB}"/>
              </c:ext>
            </c:extLst>
          </c:dPt>
          <c:dPt>
            <c:idx val="11"/>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17-A749-4E8F-B104-5D50CBC43BDB}"/>
              </c:ext>
            </c:extLst>
          </c:dPt>
          <c:dPt>
            <c:idx val="12"/>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19-A749-4E8F-B104-5D50CBC43BDB}"/>
              </c:ext>
            </c:extLst>
          </c:dPt>
          <c:dPt>
            <c:idx val="13"/>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1B-A749-4E8F-B104-5D50CBC43BDB}"/>
              </c:ext>
            </c:extLst>
          </c:dPt>
          <c:dPt>
            <c:idx val="14"/>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1D-A749-4E8F-B104-5D50CBC43BDB}"/>
              </c:ext>
            </c:extLst>
          </c:dPt>
          <c:dPt>
            <c:idx val="15"/>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1F-A749-4E8F-B104-5D50CBC43BDB}"/>
              </c:ext>
            </c:extLst>
          </c:dPt>
          <c:dPt>
            <c:idx val="16"/>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21-A749-4E8F-B104-5D50CBC43BDB}"/>
              </c:ext>
            </c:extLst>
          </c:dPt>
          <c:dPt>
            <c:idx val="17"/>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23-A749-4E8F-B104-5D50CBC43BDB}"/>
              </c:ext>
            </c:extLst>
          </c:dPt>
          <c:dPt>
            <c:idx val="18"/>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25-A749-4E8F-B104-5D50CBC43BDB}"/>
              </c:ext>
            </c:extLst>
          </c:dPt>
          <c:dPt>
            <c:idx val="19"/>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27-A749-4E8F-B104-5D50CBC43BDB}"/>
              </c:ext>
            </c:extLst>
          </c:dPt>
          <c:val>
            <c:numRef>
              <c:f>'Dashboard 1'!$AB$39:$AB$58</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Cache>
            </c:numRef>
          </c:val>
          <c:extLst>
            <c:ext xmlns:c16="http://schemas.microsoft.com/office/drawing/2014/chart" uri="{C3380CC4-5D6E-409C-BE32-E72D297353CC}">
              <c16:uniqueId val="{00000028-A749-4E8F-B104-5D50CBC43BDB}"/>
            </c:ext>
          </c:extLst>
        </c:ser>
        <c:dLbls>
          <c:showLegendKey val="0"/>
          <c:showVal val="0"/>
          <c:showCatName val="0"/>
          <c:showSerName val="0"/>
          <c:showPercent val="0"/>
          <c:showBubbleSize val="0"/>
          <c:showLeaderLines val="1"/>
        </c:dLbls>
        <c:firstSliceAng val="0"/>
        <c:holeSize val="75"/>
      </c:doughnutChart>
      <c:doughnutChart>
        <c:varyColors val="1"/>
        <c:ser>
          <c:idx val="0"/>
          <c:order val="1"/>
          <c:dPt>
            <c:idx val="0"/>
            <c:bubble3D val="0"/>
            <c:spPr>
              <a:solidFill>
                <a:srgbClr val="008080"/>
              </a:solidFill>
              <a:ln w="19050">
                <a:solidFill>
                  <a:schemeClr val="lt1"/>
                </a:solidFill>
              </a:ln>
              <a:effectLst/>
            </c:spPr>
            <c:extLst>
              <c:ext xmlns:c16="http://schemas.microsoft.com/office/drawing/2014/chart" uri="{C3380CC4-5D6E-409C-BE32-E72D297353CC}">
                <c16:uniqueId val="{0000002A-A749-4E8F-B104-5D50CBC43BDB}"/>
              </c:ext>
            </c:extLst>
          </c:dPt>
          <c:dPt>
            <c:idx val="1"/>
            <c:bubble3D val="0"/>
            <c:spPr>
              <a:noFill/>
              <a:ln w="19050">
                <a:solidFill>
                  <a:schemeClr val="lt1"/>
                </a:solidFill>
              </a:ln>
              <a:effectLst/>
            </c:spPr>
            <c:extLst>
              <c:ext xmlns:c16="http://schemas.microsoft.com/office/drawing/2014/chart" uri="{C3380CC4-5D6E-409C-BE32-E72D297353CC}">
                <c16:uniqueId val="{0000002C-A749-4E8F-B104-5D50CBC43BDB}"/>
              </c:ext>
            </c:extLst>
          </c:dPt>
          <c:val>
            <c:numRef>
              <c:f>'Dashboard 1'!$X$46:$Y$46</c:f>
              <c:numCache>
                <c:formatCode>0%</c:formatCode>
                <c:ptCount val="2"/>
                <c:pt idx="0">
                  <c:v>0.87</c:v>
                </c:pt>
                <c:pt idx="1">
                  <c:v>0.13</c:v>
                </c:pt>
              </c:numCache>
            </c:numRef>
          </c:val>
          <c:extLst>
            <c:ext xmlns:c16="http://schemas.microsoft.com/office/drawing/2014/chart" uri="{C3380CC4-5D6E-409C-BE32-E72D297353CC}">
              <c16:uniqueId val="{0000002D-A749-4E8F-B104-5D50CBC43BD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25686495070468"/>
          <c:y val="0"/>
          <c:w val="0.77748627009859061"/>
          <c:h val="1"/>
        </c:manualLayout>
      </c:layout>
      <c:doughnutChart>
        <c:varyColors val="1"/>
        <c:ser>
          <c:idx val="1"/>
          <c:order val="0"/>
          <c:spPr>
            <a:solidFill>
              <a:schemeClr val="tx2">
                <a:lumMod val="20000"/>
                <a:lumOff val="80000"/>
              </a:schemeClr>
            </a:solidFill>
          </c:spPr>
          <c:dPt>
            <c:idx val="0"/>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1-BCF5-44AB-8F54-BFF1D54961B5}"/>
              </c:ext>
            </c:extLst>
          </c:dPt>
          <c:dPt>
            <c:idx val="1"/>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3-BCF5-44AB-8F54-BFF1D54961B5}"/>
              </c:ext>
            </c:extLst>
          </c:dPt>
          <c:dPt>
            <c:idx val="2"/>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5-BCF5-44AB-8F54-BFF1D54961B5}"/>
              </c:ext>
            </c:extLst>
          </c:dPt>
          <c:dPt>
            <c:idx val="3"/>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7-BCF5-44AB-8F54-BFF1D54961B5}"/>
              </c:ext>
            </c:extLst>
          </c:dPt>
          <c:dPt>
            <c:idx val="4"/>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9-BCF5-44AB-8F54-BFF1D54961B5}"/>
              </c:ext>
            </c:extLst>
          </c:dPt>
          <c:dPt>
            <c:idx val="5"/>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B-BCF5-44AB-8F54-BFF1D54961B5}"/>
              </c:ext>
            </c:extLst>
          </c:dPt>
          <c:dPt>
            <c:idx val="6"/>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D-BCF5-44AB-8F54-BFF1D54961B5}"/>
              </c:ext>
            </c:extLst>
          </c:dPt>
          <c:dPt>
            <c:idx val="7"/>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F-BCF5-44AB-8F54-BFF1D54961B5}"/>
              </c:ext>
            </c:extLst>
          </c:dPt>
          <c:dPt>
            <c:idx val="8"/>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11-BCF5-44AB-8F54-BFF1D54961B5}"/>
              </c:ext>
            </c:extLst>
          </c:dPt>
          <c:dPt>
            <c:idx val="9"/>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13-BCF5-44AB-8F54-BFF1D54961B5}"/>
              </c:ext>
            </c:extLst>
          </c:dPt>
          <c:dPt>
            <c:idx val="10"/>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15-BCF5-44AB-8F54-BFF1D54961B5}"/>
              </c:ext>
            </c:extLst>
          </c:dPt>
          <c:dPt>
            <c:idx val="11"/>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17-BCF5-44AB-8F54-BFF1D54961B5}"/>
              </c:ext>
            </c:extLst>
          </c:dPt>
          <c:dPt>
            <c:idx val="12"/>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19-BCF5-44AB-8F54-BFF1D54961B5}"/>
              </c:ext>
            </c:extLst>
          </c:dPt>
          <c:dPt>
            <c:idx val="13"/>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1B-BCF5-44AB-8F54-BFF1D54961B5}"/>
              </c:ext>
            </c:extLst>
          </c:dPt>
          <c:dPt>
            <c:idx val="14"/>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1D-BCF5-44AB-8F54-BFF1D54961B5}"/>
              </c:ext>
            </c:extLst>
          </c:dPt>
          <c:dPt>
            <c:idx val="15"/>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1F-BCF5-44AB-8F54-BFF1D54961B5}"/>
              </c:ext>
            </c:extLst>
          </c:dPt>
          <c:dPt>
            <c:idx val="16"/>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21-BCF5-44AB-8F54-BFF1D54961B5}"/>
              </c:ext>
            </c:extLst>
          </c:dPt>
          <c:dPt>
            <c:idx val="17"/>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23-BCF5-44AB-8F54-BFF1D54961B5}"/>
              </c:ext>
            </c:extLst>
          </c:dPt>
          <c:dPt>
            <c:idx val="18"/>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25-BCF5-44AB-8F54-BFF1D54961B5}"/>
              </c:ext>
            </c:extLst>
          </c:dPt>
          <c:dPt>
            <c:idx val="19"/>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27-BCF5-44AB-8F54-BFF1D54961B5}"/>
              </c:ext>
            </c:extLst>
          </c:dPt>
          <c:val>
            <c:numRef>
              <c:f>'Dashboard 1'!$AB$39:$AB$58</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Cache>
            </c:numRef>
          </c:val>
          <c:extLst>
            <c:ext xmlns:c16="http://schemas.microsoft.com/office/drawing/2014/chart" uri="{C3380CC4-5D6E-409C-BE32-E72D297353CC}">
              <c16:uniqueId val="{00000028-BCF5-44AB-8F54-BFF1D54961B5}"/>
            </c:ext>
          </c:extLst>
        </c:ser>
        <c:dLbls>
          <c:showLegendKey val="0"/>
          <c:showVal val="0"/>
          <c:showCatName val="0"/>
          <c:showSerName val="0"/>
          <c:showPercent val="0"/>
          <c:showBubbleSize val="0"/>
          <c:showLeaderLines val="1"/>
        </c:dLbls>
        <c:firstSliceAng val="0"/>
        <c:holeSize val="75"/>
      </c:doughnutChart>
      <c:doughnutChart>
        <c:varyColors val="1"/>
        <c:ser>
          <c:idx val="0"/>
          <c:order val="1"/>
          <c:dPt>
            <c:idx val="0"/>
            <c:bubble3D val="0"/>
            <c:spPr>
              <a:solidFill>
                <a:srgbClr val="008080"/>
              </a:solidFill>
              <a:ln w="19050">
                <a:solidFill>
                  <a:schemeClr val="lt1"/>
                </a:solidFill>
              </a:ln>
              <a:effectLst/>
            </c:spPr>
            <c:extLst>
              <c:ext xmlns:c16="http://schemas.microsoft.com/office/drawing/2014/chart" uri="{C3380CC4-5D6E-409C-BE32-E72D297353CC}">
                <c16:uniqueId val="{0000002A-BCF5-44AB-8F54-BFF1D54961B5}"/>
              </c:ext>
            </c:extLst>
          </c:dPt>
          <c:dPt>
            <c:idx val="1"/>
            <c:bubble3D val="0"/>
            <c:spPr>
              <a:noFill/>
              <a:ln w="19050">
                <a:solidFill>
                  <a:schemeClr val="lt1"/>
                </a:solidFill>
              </a:ln>
              <a:effectLst/>
            </c:spPr>
            <c:extLst>
              <c:ext xmlns:c16="http://schemas.microsoft.com/office/drawing/2014/chart" uri="{C3380CC4-5D6E-409C-BE32-E72D297353CC}">
                <c16:uniqueId val="{0000002C-BCF5-44AB-8F54-BFF1D54961B5}"/>
              </c:ext>
            </c:extLst>
          </c:dPt>
          <c:val>
            <c:numRef>
              <c:f>'Dashboard 1'!$X$47:$Y$47</c:f>
              <c:numCache>
                <c:formatCode>0%</c:formatCode>
                <c:ptCount val="2"/>
                <c:pt idx="0">
                  <c:v>0.86</c:v>
                </c:pt>
                <c:pt idx="1">
                  <c:v>0.14000000000000001</c:v>
                </c:pt>
              </c:numCache>
            </c:numRef>
          </c:val>
          <c:extLst>
            <c:ext xmlns:c16="http://schemas.microsoft.com/office/drawing/2014/chart" uri="{C3380CC4-5D6E-409C-BE32-E72D297353CC}">
              <c16:uniqueId val="{0000002D-BCF5-44AB-8F54-BFF1D54961B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 (HR).xlsx]Pivot 1!PivotTable1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1'!$B$3</c:f>
              <c:strCache>
                <c:ptCount val="1"/>
                <c:pt idx="0">
                  <c:v>Total</c:v>
                </c:pt>
              </c:strCache>
            </c:strRef>
          </c:tx>
          <c:spPr>
            <a:solidFill>
              <a:schemeClr val="accent1"/>
            </a:solidFill>
            <a:ln>
              <a:noFill/>
            </a:ln>
            <a:effectLst/>
          </c:spPr>
          <c:invertIfNegative val="0"/>
          <c:cat>
            <c:strRef>
              <c:f>'Pivot 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1'!$B$4:$B$16</c:f>
              <c:numCache>
                <c:formatCode>General</c:formatCode>
                <c:ptCount val="12"/>
                <c:pt idx="0">
                  <c:v>1000</c:v>
                </c:pt>
                <c:pt idx="1">
                  <c:v>1100</c:v>
                </c:pt>
                <c:pt idx="2">
                  <c:v>1101</c:v>
                </c:pt>
                <c:pt idx="3">
                  <c:v>900</c:v>
                </c:pt>
                <c:pt idx="4">
                  <c:v>1110</c:v>
                </c:pt>
                <c:pt idx="5">
                  <c:v>1000</c:v>
                </c:pt>
                <c:pt idx="6">
                  <c:v>1009</c:v>
                </c:pt>
                <c:pt idx="7">
                  <c:v>1003</c:v>
                </c:pt>
                <c:pt idx="8">
                  <c:v>980</c:v>
                </c:pt>
                <c:pt idx="9">
                  <c:v>930</c:v>
                </c:pt>
                <c:pt idx="10">
                  <c:v>870</c:v>
                </c:pt>
                <c:pt idx="11">
                  <c:v>990</c:v>
                </c:pt>
              </c:numCache>
            </c:numRef>
          </c:val>
          <c:extLst>
            <c:ext xmlns:c16="http://schemas.microsoft.com/office/drawing/2014/chart" uri="{C3380CC4-5D6E-409C-BE32-E72D297353CC}">
              <c16:uniqueId val="{00000000-0EAC-4A13-AFFE-82F1B04DB5A2}"/>
            </c:ext>
          </c:extLst>
        </c:ser>
        <c:dLbls>
          <c:showLegendKey val="0"/>
          <c:showVal val="0"/>
          <c:showCatName val="0"/>
          <c:showSerName val="0"/>
          <c:showPercent val="0"/>
          <c:showBubbleSize val="0"/>
        </c:dLbls>
        <c:gapWidth val="219"/>
        <c:overlap val="-27"/>
        <c:axId val="659187000"/>
        <c:axId val="659184840"/>
      </c:barChart>
      <c:catAx>
        <c:axId val="659187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184840"/>
        <c:crosses val="autoZero"/>
        <c:auto val="1"/>
        <c:lblAlgn val="ctr"/>
        <c:lblOffset val="100"/>
        <c:noMultiLvlLbl val="0"/>
      </c:catAx>
      <c:valAx>
        <c:axId val="65918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187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 (HR).xlsx]Pivot 1!PivotTable24</c:name>
    <c:fmtId val="5"/>
  </c:pivotSource>
  <c:chart>
    <c:title>
      <c:tx>
        <c:rich>
          <a:bodyPr rot="0" spcFirstLastPara="1" vertOverflow="ellipsis" wrap="square" anchor="ctr" anchorCtr="1"/>
          <a:lstStyle/>
          <a:p>
            <a:pPr>
              <a:defRPr sz="2400" b="0" i="0" u="none" strike="noStrike" kern="1200" spc="0" baseline="0">
                <a:solidFill>
                  <a:sysClr val="windowText" lastClr="000000">
                    <a:lumMod val="65000"/>
                    <a:lumOff val="35000"/>
                  </a:sysClr>
                </a:solidFill>
                <a:effectLst>
                  <a:glow>
                    <a:schemeClr val="accent1">
                      <a:alpha val="40000"/>
                    </a:schemeClr>
                  </a:glow>
                </a:effectLst>
                <a:latin typeface="+mn-lt"/>
                <a:ea typeface="+mn-ea"/>
                <a:cs typeface="+mn-cs"/>
              </a:defRPr>
            </a:pPr>
            <a:r>
              <a:rPr lang="en-US" sz="2400" b="0" i="0" u="none" strike="noStrike" kern="1200" spc="0" baseline="0">
                <a:solidFill>
                  <a:sysClr val="windowText" lastClr="000000">
                    <a:lumMod val="65000"/>
                    <a:lumOff val="35000"/>
                  </a:sysClr>
                </a:solidFill>
                <a:effectLst>
                  <a:glow>
                    <a:schemeClr val="accent1">
                      <a:alpha val="40000"/>
                    </a:schemeClr>
                  </a:glow>
                </a:effectLst>
                <a:latin typeface="+mn-lt"/>
              </a:rPr>
              <a:t> Saudis Vs Non-Saudis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lumMod val="50000"/>
            </a:schemeClr>
          </a:solidFill>
          <a:ln>
            <a:noFill/>
          </a:ln>
          <a:effectLst>
            <a:softEdge rad="0"/>
          </a:effectLst>
        </c:spPr>
        <c:marker>
          <c:symbol val="none"/>
        </c:marker>
        <c:dLbl>
          <c:idx val="0"/>
          <c:spPr>
            <a:noFill/>
            <a:ln>
              <a:noFill/>
            </a:ln>
            <a:effectLst>
              <a:glow>
                <a:schemeClr val="bg1"/>
              </a:glow>
              <a:softEdge rad="0"/>
            </a:effectLst>
          </c:spPr>
          <c:txPr>
            <a:bodyPr rot="0" spcFirstLastPara="1" vertOverflow="ellipsis" vert="horz" wrap="square" lIns="9144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rgbClr val="0066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446850393700792E-2"/>
          <c:y val="0.17185354307037398"/>
          <c:w val="0.80646456692913393"/>
          <c:h val="0.77717883833231904"/>
        </c:manualLayout>
      </c:layout>
      <c:barChart>
        <c:barDir val="bar"/>
        <c:grouping val="clustered"/>
        <c:varyColors val="0"/>
        <c:ser>
          <c:idx val="0"/>
          <c:order val="0"/>
          <c:tx>
            <c:strRef>
              <c:f>'Pivot 1'!$M$19</c:f>
              <c:strCache>
                <c:ptCount val="1"/>
                <c:pt idx="0">
                  <c:v>Sum of Saudis</c:v>
                </c:pt>
              </c:strCache>
            </c:strRef>
          </c:tx>
          <c:spPr>
            <a:solidFill>
              <a:schemeClr val="accent1">
                <a:lumMod val="50000"/>
              </a:schemeClr>
            </a:solidFill>
            <a:ln>
              <a:noFill/>
            </a:ln>
            <a:effectLst>
              <a:softEdge rad="0"/>
            </a:effectLst>
          </c:spPr>
          <c:invertIfNegative val="0"/>
          <c:dLbls>
            <c:spPr>
              <a:noFill/>
              <a:ln>
                <a:noFill/>
              </a:ln>
              <a:effectLst>
                <a:glow>
                  <a:schemeClr val="bg1"/>
                </a:glow>
                <a:softEdge rad="0"/>
              </a:effectLst>
            </c:spPr>
            <c:txPr>
              <a:bodyPr rot="0" spcFirstLastPara="1" vertOverflow="ellipsis" vert="horz" wrap="square" lIns="9144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 1'!$L$20:$L$32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1'!$M$20:$M$32</c:f>
              <c:numCache>
                <c:formatCode>General</c:formatCode>
                <c:ptCount val="12"/>
                <c:pt idx="0">
                  <c:v>1000</c:v>
                </c:pt>
                <c:pt idx="1">
                  <c:v>1100</c:v>
                </c:pt>
                <c:pt idx="2">
                  <c:v>1101</c:v>
                </c:pt>
                <c:pt idx="3">
                  <c:v>900</c:v>
                </c:pt>
                <c:pt idx="4">
                  <c:v>1110</c:v>
                </c:pt>
                <c:pt idx="5">
                  <c:v>1000</c:v>
                </c:pt>
                <c:pt idx="6">
                  <c:v>1009</c:v>
                </c:pt>
                <c:pt idx="7">
                  <c:v>1003</c:v>
                </c:pt>
                <c:pt idx="8">
                  <c:v>980</c:v>
                </c:pt>
                <c:pt idx="9">
                  <c:v>930</c:v>
                </c:pt>
                <c:pt idx="10">
                  <c:v>870</c:v>
                </c:pt>
                <c:pt idx="11">
                  <c:v>990</c:v>
                </c:pt>
              </c:numCache>
            </c:numRef>
          </c:val>
          <c:extLst>
            <c:ext xmlns:c16="http://schemas.microsoft.com/office/drawing/2014/chart" uri="{C3380CC4-5D6E-409C-BE32-E72D297353CC}">
              <c16:uniqueId val="{00000000-4D96-4302-A940-04111B4D4734}"/>
            </c:ext>
          </c:extLst>
        </c:ser>
        <c:ser>
          <c:idx val="1"/>
          <c:order val="1"/>
          <c:tx>
            <c:strRef>
              <c:f>'Pivot 1'!$N$19</c:f>
              <c:strCache>
                <c:ptCount val="1"/>
                <c:pt idx="0">
                  <c:v>Sum of Non-Sauids</c:v>
                </c:pt>
              </c:strCache>
            </c:strRef>
          </c:tx>
          <c:spPr>
            <a:solidFill>
              <a:srgbClr val="00666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1'!$L$20:$L$32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1'!$N$20:$N$32</c:f>
              <c:numCache>
                <c:formatCode>General</c:formatCode>
                <c:ptCount val="12"/>
                <c:pt idx="0">
                  <c:v>2700</c:v>
                </c:pt>
                <c:pt idx="1">
                  <c:v>2800</c:v>
                </c:pt>
                <c:pt idx="2">
                  <c:v>2900</c:v>
                </c:pt>
                <c:pt idx="3">
                  <c:v>3000</c:v>
                </c:pt>
                <c:pt idx="4">
                  <c:v>2700</c:v>
                </c:pt>
                <c:pt idx="5">
                  <c:v>2713</c:v>
                </c:pt>
                <c:pt idx="6">
                  <c:v>2710</c:v>
                </c:pt>
                <c:pt idx="7">
                  <c:v>2600</c:v>
                </c:pt>
                <c:pt idx="8">
                  <c:v>2500</c:v>
                </c:pt>
                <c:pt idx="9">
                  <c:v>2400</c:v>
                </c:pt>
                <c:pt idx="10">
                  <c:v>2300</c:v>
                </c:pt>
                <c:pt idx="11">
                  <c:v>2210</c:v>
                </c:pt>
              </c:numCache>
            </c:numRef>
          </c:val>
          <c:extLst>
            <c:ext xmlns:c16="http://schemas.microsoft.com/office/drawing/2014/chart" uri="{C3380CC4-5D6E-409C-BE32-E72D297353CC}">
              <c16:uniqueId val="{00000001-4D96-4302-A940-04111B4D4734}"/>
            </c:ext>
          </c:extLst>
        </c:ser>
        <c:dLbls>
          <c:dLblPos val="inEnd"/>
          <c:showLegendKey val="0"/>
          <c:showVal val="1"/>
          <c:showCatName val="0"/>
          <c:showSerName val="0"/>
          <c:showPercent val="0"/>
          <c:showBubbleSize val="0"/>
        </c:dLbls>
        <c:gapWidth val="0"/>
        <c:overlap val="-12"/>
        <c:axId val="675881200"/>
        <c:axId val="675883000"/>
      </c:barChart>
      <c:catAx>
        <c:axId val="675881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75883000"/>
        <c:crosses val="autoZero"/>
        <c:auto val="1"/>
        <c:lblAlgn val="ctr"/>
        <c:lblOffset val="100"/>
        <c:noMultiLvlLbl val="0"/>
      </c:catAx>
      <c:valAx>
        <c:axId val="675883000"/>
        <c:scaling>
          <c:orientation val="minMax"/>
        </c:scaling>
        <c:delete val="1"/>
        <c:axPos val="b"/>
        <c:numFmt formatCode="General" sourceLinked="1"/>
        <c:majorTickMark val="none"/>
        <c:minorTickMark val="none"/>
        <c:tickLblPos val="nextTo"/>
        <c:crossAx val="675881200"/>
        <c:crosses val="autoZero"/>
        <c:crossBetween val="between"/>
      </c:valAx>
      <c:spPr>
        <a:noFill/>
        <a:ln>
          <a:noFill/>
        </a:ln>
        <a:effectLst/>
      </c:spPr>
    </c:plotArea>
    <c:legend>
      <c:legendPos val="r"/>
      <c:layout>
        <c:manualLayout>
          <c:xMode val="edge"/>
          <c:yMode val="edge"/>
          <c:x val="0.76380030621172357"/>
          <c:y val="0.1347467817797878"/>
          <c:w val="0.23619969378827646"/>
          <c:h val="0.15637901520491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 (HR).xlsx]Pivot 3!PivotTable14</c:name>
    <c:fmtId val="2"/>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 Joiners Vs Leavers </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66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216690519119567E-2"/>
          <c:y val="0.22263888888888889"/>
          <c:w val="0.92210127310040135"/>
          <c:h val="0.66996172353455818"/>
        </c:manualLayout>
      </c:layout>
      <c:barChart>
        <c:barDir val="col"/>
        <c:grouping val="clustered"/>
        <c:varyColors val="0"/>
        <c:ser>
          <c:idx val="0"/>
          <c:order val="0"/>
          <c:tx>
            <c:strRef>
              <c:f>'Pivot 3'!$B$3</c:f>
              <c:strCache>
                <c:ptCount val="1"/>
                <c:pt idx="0">
                  <c:v>Sum of # Leavers</c:v>
                </c:pt>
              </c:strCache>
            </c:strRef>
          </c:tx>
          <c:spPr>
            <a:solidFill>
              <a:srgbClr val="006666"/>
            </a:solidFill>
            <a:ln>
              <a:noFill/>
            </a:ln>
            <a:effectLst/>
          </c:spPr>
          <c:invertIfNegative val="0"/>
          <c:cat>
            <c:strRef>
              <c:f>'Pivot 3'!$A$4:$A$16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3'!$B$4:$B$16</c:f>
              <c:numCache>
                <c:formatCode>General</c:formatCode>
                <c:ptCount val="12"/>
                <c:pt idx="0">
                  <c:v>22</c:v>
                </c:pt>
                <c:pt idx="1">
                  <c:v>14</c:v>
                </c:pt>
                <c:pt idx="2">
                  <c:v>29</c:v>
                </c:pt>
                <c:pt idx="3">
                  <c:v>30</c:v>
                </c:pt>
                <c:pt idx="4">
                  <c:v>233</c:v>
                </c:pt>
                <c:pt idx="5">
                  <c:v>164</c:v>
                </c:pt>
                <c:pt idx="6">
                  <c:v>278</c:v>
                </c:pt>
                <c:pt idx="7">
                  <c:v>101</c:v>
                </c:pt>
                <c:pt idx="8">
                  <c:v>183</c:v>
                </c:pt>
                <c:pt idx="9">
                  <c:v>151</c:v>
                </c:pt>
                <c:pt idx="10">
                  <c:v>300</c:v>
                </c:pt>
                <c:pt idx="11">
                  <c:v>230</c:v>
                </c:pt>
              </c:numCache>
            </c:numRef>
          </c:val>
          <c:extLst>
            <c:ext xmlns:c16="http://schemas.microsoft.com/office/drawing/2014/chart" uri="{C3380CC4-5D6E-409C-BE32-E72D297353CC}">
              <c16:uniqueId val="{00000000-1022-452E-A590-7E4B2E7FC29B}"/>
            </c:ext>
          </c:extLst>
        </c:ser>
        <c:ser>
          <c:idx val="1"/>
          <c:order val="1"/>
          <c:tx>
            <c:strRef>
              <c:f>'Pivot 3'!$C$3</c:f>
              <c:strCache>
                <c:ptCount val="1"/>
                <c:pt idx="0">
                  <c:v>Sum of # Joiners</c:v>
                </c:pt>
              </c:strCache>
            </c:strRef>
          </c:tx>
          <c:spPr>
            <a:solidFill>
              <a:schemeClr val="bg1">
                <a:lumMod val="65000"/>
              </a:schemeClr>
            </a:solidFill>
            <a:ln>
              <a:noFill/>
            </a:ln>
            <a:effectLst/>
          </c:spPr>
          <c:invertIfNegative val="0"/>
          <c:cat>
            <c:strRef>
              <c:f>'Pivot 3'!$A$4:$A$16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3'!$C$4:$C$16</c:f>
              <c:numCache>
                <c:formatCode>General</c:formatCode>
                <c:ptCount val="12"/>
                <c:pt idx="0">
                  <c:v>10</c:v>
                </c:pt>
                <c:pt idx="1">
                  <c:v>30</c:v>
                </c:pt>
                <c:pt idx="2">
                  <c:v>4</c:v>
                </c:pt>
                <c:pt idx="3">
                  <c:v>50</c:v>
                </c:pt>
                <c:pt idx="4">
                  <c:v>107</c:v>
                </c:pt>
                <c:pt idx="5">
                  <c:v>232</c:v>
                </c:pt>
                <c:pt idx="6">
                  <c:v>99</c:v>
                </c:pt>
                <c:pt idx="7">
                  <c:v>70</c:v>
                </c:pt>
                <c:pt idx="8">
                  <c:v>174</c:v>
                </c:pt>
                <c:pt idx="9">
                  <c:v>62</c:v>
                </c:pt>
                <c:pt idx="10">
                  <c:v>198</c:v>
                </c:pt>
                <c:pt idx="11">
                  <c:v>266</c:v>
                </c:pt>
              </c:numCache>
            </c:numRef>
          </c:val>
          <c:extLst>
            <c:ext xmlns:c16="http://schemas.microsoft.com/office/drawing/2014/chart" uri="{C3380CC4-5D6E-409C-BE32-E72D297353CC}">
              <c16:uniqueId val="{00000001-1022-452E-A590-7E4B2E7FC29B}"/>
            </c:ext>
          </c:extLst>
        </c:ser>
        <c:dLbls>
          <c:showLegendKey val="0"/>
          <c:showVal val="0"/>
          <c:showCatName val="0"/>
          <c:showSerName val="0"/>
          <c:showPercent val="0"/>
          <c:showBubbleSize val="0"/>
        </c:dLbls>
        <c:gapWidth val="21"/>
        <c:axId val="659187720"/>
        <c:axId val="329572952"/>
      </c:barChart>
      <c:catAx>
        <c:axId val="659187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572952"/>
        <c:crosses val="autoZero"/>
        <c:auto val="1"/>
        <c:lblAlgn val="ctr"/>
        <c:lblOffset val="100"/>
        <c:noMultiLvlLbl val="0"/>
      </c:catAx>
      <c:valAx>
        <c:axId val="329572952"/>
        <c:scaling>
          <c:orientation val="minMax"/>
        </c:scaling>
        <c:delete val="1"/>
        <c:axPos val="l"/>
        <c:numFmt formatCode="General" sourceLinked="1"/>
        <c:majorTickMark val="none"/>
        <c:minorTickMark val="none"/>
        <c:tickLblPos val="nextTo"/>
        <c:crossAx val="659187720"/>
        <c:crosses val="autoZero"/>
        <c:crossBetween val="between"/>
      </c:valAx>
      <c:spPr>
        <a:noFill/>
        <a:ln>
          <a:noFill/>
        </a:ln>
        <a:effectLst/>
      </c:spPr>
    </c:plotArea>
    <c:legend>
      <c:legendPos val="r"/>
      <c:layout>
        <c:manualLayout>
          <c:xMode val="edge"/>
          <c:yMode val="edge"/>
          <c:x val="0.76205721878100696"/>
          <c:y val="0.13041593759113446"/>
          <c:w val="0.23492308208089133"/>
          <c:h val="0.17013998250218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 (HR).xlsx]Pivot 3!PivotTable15</c:name>
    <c:fmtId val="3"/>
  </c:pivotSource>
  <c:chart>
    <c:title>
      <c:tx>
        <c:rich>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r>
              <a:rPr lang="en-US" sz="2800"/>
              <a:t>Performers</a:t>
            </a:r>
          </a:p>
        </c:rich>
      </c:tx>
      <c:overlay val="0"/>
      <c:spPr>
        <a:noFill/>
        <a:ln>
          <a:noFill/>
        </a:ln>
        <a:effectLst/>
      </c:spPr>
      <c:txPr>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473459841455119E-2"/>
          <c:y val="0.14314179407453148"/>
          <c:w val="0.93157977513335133"/>
          <c:h val="0.76732890799162745"/>
        </c:manualLayout>
      </c:layout>
      <c:barChart>
        <c:barDir val="col"/>
        <c:grouping val="clustered"/>
        <c:varyColors val="0"/>
        <c:ser>
          <c:idx val="0"/>
          <c:order val="0"/>
          <c:tx>
            <c:strRef>
              <c:f>'Pivot 3'!$B$18</c:f>
              <c:strCache>
                <c:ptCount val="1"/>
                <c:pt idx="0">
                  <c:v>Sum of % Low Performers</c:v>
                </c:pt>
              </c:strCache>
            </c:strRef>
          </c:tx>
          <c:spPr>
            <a:solidFill>
              <a:schemeClr val="bg1">
                <a:lumMod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3'!$A$19:$A$31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3'!$B$19:$B$31</c:f>
              <c:numCache>
                <c:formatCode>0%</c:formatCode>
                <c:ptCount val="12"/>
                <c:pt idx="0">
                  <c:v>0.14012738853503184</c:v>
                </c:pt>
                <c:pt idx="1">
                  <c:v>0.12101910828025478</c:v>
                </c:pt>
                <c:pt idx="2">
                  <c:v>9.5541401273885343E-2</c:v>
                </c:pt>
                <c:pt idx="3">
                  <c:v>7.6433121019108277E-2</c:v>
                </c:pt>
                <c:pt idx="4">
                  <c:v>7.6433121019108277E-2</c:v>
                </c:pt>
                <c:pt idx="5">
                  <c:v>7.6433121019108277E-2</c:v>
                </c:pt>
                <c:pt idx="6">
                  <c:v>7.6433121019108277E-2</c:v>
                </c:pt>
                <c:pt idx="7">
                  <c:v>0.12101910828025478</c:v>
                </c:pt>
                <c:pt idx="8">
                  <c:v>0.12738853503184713</c:v>
                </c:pt>
                <c:pt idx="9">
                  <c:v>2.5477707006369425E-2</c:v>
                </c:pt>
                <c:pt idx="10">
                  <c:v>3.1847133757961783E-2</c:v>
                </c:pt>
                <c:pt idx="11">
                  <c:v>3.1847133757961783E-2</c:v>
                </c:pt>
              </c:numCache>
            </c:numRef>
          </c:val>
          <c:extLst>
            <c:ext xmlns:c16="http://schemas.microsoft.com/office/drawing/2014/chart" uri="{C3380CC4-5D6E-409C-BE32-E72D297353CC}">
              <c16:uniqueId val="{00000000-371E-4FAB-B0B5-ACB31E238781}"/>
            </c:ext>
          </c:extLst>
        </c:ser>
        <c:ser>
          <c:idx val="1"/>
          <c:order val="1"/>
          <c:tx>
            <c:strRef>
              <c:f>'Pivot 3'!$C$18</c:f>
              <c:strCache>
                <c:ptCount val="1"/>
                <c:pt idx="0">
                  <c:v>Sum of % High Performers</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3'!$A$19:$A$31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3'!$C$19:$C$31</c:f>
              <c:numCache>
                <c:formatCode>0%</c:formatCode>
                <c:ptCount val="12"/>
                <c:pt idx="0">
                  <c:v>0.1</c:v>
                </c:pt>
                <c:pt idx="1">
                  <c:v>0.1</c:v>
                </c:pt>
                <c:pt idx="2">
                  <c:v>0.12</c:v>
                </c:pt>
                <c:pt idx="3">
                  <c:v>0.11</c:v>
                </c:pt>
                <c:pt idx="4">
                  <c:v>0.12</c:v>
                </c:pt>
                <c:pt idx="5">
                  <c:v>0.19</c:v>
                </c:pt>
                <c:pt idx="6">
                  <c:v>0.1</c:v>
                </c:pt>
                <c:pt idx="7">
                  <c:v>0.04</c:v>
                </c:pt>
                <c:pt idx="8">
                  <c:v>0.08</c:v>
                </c:pt>
                <c:pt idx="9">
                  <c:v>0.19</c:v>
                </c:pt>
                <c:pt idx="10">
                  <c:v>0.2</c:v>
                </c:pt>
                <c:pt idx="11">
                  <c:v>0.33</c:v>
                </c:pt>
              </c:numCache>
            </c:numRef>
          </c:val>
          <c:extLst>
            <c:ext xmlns:c16="http://schemas.microsoft.com/office/drawing/2014/chart" uri="{C3380CC4-5D6E-409C-BE32-E72D297353CC}">
              <c16:uniqueId val="{00000001-371E-4FAB-B0B5-ACB31E238781}"/>
            </c:ext>
          </c:extLst>
        </c:ser>
        <c:dLbls>
          <c:dLblPos val="outEnd"/>
          <c:showLegendKey val="0"/>
          <c:showVal val="1"/>
          <c:showCatName val="0"/>
          <c:showSerName val="0"/>
          <c:showPercent val="0"/>
          <c:showBubbleSize val="0"/>
        </c:dLbls>
        <c:gapWidth val="31"/>
        <c:overlap val="-27"/>
        <c:axId val="543245472"/>
        <c:axId val="543248712"/>
      </c:barChart>
      <c:catAx>
        <c:axId val="54324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248712"/>
        <c:crosses val="autoZero"/>
        <c:auto val="1"/>
        <c:lblAlgn val="ctr"/>
        <c:lblOffset val="100"/>
        <c:noMultiLvlLbl val="0"/>
      </c:catAx>
      <c:valAx>
        <c:axId val="543248712"/>
        <c:scaling>
          <c:orientation val="minMax"/>
        </c:scaling>
        <c:delete val="1"/>
        <c:axPos val="l"/>
        <c:numFmt formatCode="0%" sourceLinked="1"/>
        <c:majorTickMark val="none"/>
        <c:minorTickMark val="none"/>
        <c:tickLblPos val="nextTo"/>
        <c:crossAx val="543245472"/>
        <c:crosses val="autoZero"/>
        <c:crossBetween val="between"/>
      </c:valAx>
      <c:spPr>
        <a:noFill/>
        <a:ln>
          <a:noFill/>
        </a:ln>
        <a:effectLst/>
      </c:spPr>
    </c:plotArea>
    <c:legend>
      <c:legendPos val="r"/>
      <c:layout>
        <c:manualLayout>
          <c:xMode val="edge"/>
          <c:yMode val="edge"/>
          <c:x val="5.8115527351184524E-3"/>
          <c:y val="0.11086520251955181"/>
          <c:w val="0.24897383841475185"/>
          <c:h val="0.1920015656034015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 (HR).xlsx]Pivot 4!PivotTable20</c:name>
    <c:fmtId val="2"/>
  </c:pivotSource>
  <c:chart>
    <c:title>
      <c:tx>
        <c:rich>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r>
              <a:rPr lang="en-US" sz="2800"/>
              <a:t>Leavers</a:t>
            </a:r>
          </a:p>
        </c:rich>
      </c:tx>
      <c:overlay val="0"/>
      <c:spPr>
        <a:noFill/>
        <a:ln>
          <a:noFill/>
        </a:ln>
        <a:effectLst/>
      </c:spPr>
      <c:txPr>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a:glow rad="127000">
              <a:srgbClr val="006666"/>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4'!$B$2</c:f>
              <c:strCache>
                <c:ptCount val="1"/>
                <c:pt idx="0">
                  <c:v>Total</c:v>
                </c:pt>
              </c:strCache>
            </c:strRef>
          </c:tx>
          <c:spPr>
            <a:ln w="28575" cap="rnd">
              <a:solidFill>
                <a:schemeClr val="accent1"/>
              </a:solidFill>
              <a:round/>
            </a:ln>
            <a:effectLst>
              <a:glow rad="127000">
                <a:srgbClr val="006666"/>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4'!$A$3:$A$11</c:f>
              <c:strCache>
                <c:ptCount val="8"/>
                <c:pt idx="0">
                  <c:v>30</c:v>
                </c:pt>
                <c:pt idx="1">
                  <c:v>32</c:v>
                </c:pt>
                <c:pt idx="2">
                  <c:v>33</c:v>
                </c:pt>
                <c:pt idx="3">
                  <c:v>34</c:v>
                </c:pt>
                <c:pt idx="4">
                  <c:v>35</c:v>
                </c:pt>
                <c:pt idx="5">
                  <c:v>39</c:v>
                </c:pt>
                <c:pt idx="6">
                  <c:v>40</c:v>
                </c:pt>
                <c:pt idx="7">
                  <c:v>41</c:v>
                </c:pt>
              </c:strCache>
            </c:strRef>
          </c:cat>
          <c:val>
            <c:numRef>
              <c:f>'Pivot 4'!$B$3:$B$11</c:f>
              <c:numCache>
                <c:formatCode>General</c:formatCode>
                <c:ptCount val="8"/>
                <c:pt idx="0">
                  <c:v>864</c:v>
                </c:pt>
                <c:pt idx="1">
                  <c:v>123</c:v>
                </c:pt>
                <c:pt idx="2">
                  <c:v>14</c:v>
                </c:pt>
                <c:pt idx="3">
                  <c:v>29</c:v>
                </c:pt>
                <c:pt idx="4">
                  <c:v>278</c:v>
                </c:pt>
                <c:pt idx="5">
                  <c:v>164</c:v>
                </c:pt>
                <c:pt idx="6">
                  <c:v>30</c:v>
                </c:pt>
                <c:pt idx="7">
                  <c:v>233</c:v>
                </c:pt>
              </c:numCache>
            </c:numRef>
          </c:val>
          <c:smooth val="0"/>
          <c:extLst>
            <c:ext xmlns:c16="http://schemas.microsoft.com/office/drawing/2014/chart" uri="{C3380CC4-5D6E-409C-BE32-E72D297353CC}">
              <c16:uniqueId val="{00000000-22FE-4BE2-8014-4758A9CB8E3D}"/>
            </c:ext>
          </c:extLst>
        </c:ser>
        <c:dLbls>
          <c:showLegendKey val="0"/>
          <c:showVal val="0"/>
          <c:showCatName val="0"/>
          <c:showSerName val="0"/>
          <c:showPercent val="0"/>
          <c:showBubbleSize val="0"/>
        </c:dLbls>
        <c:smooth val="0"/>
        <c:axId val="674300904"/>
        <c:axId val="674300184"/>
      </c:lineChart>
      <c:catAx>
        <c:axId val="6743009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300184"/>
        <c:crosses val="autoZero"/>
        <c:auto val="1"/>
        <c:lblAlgn val="ctr"/>
        <c:lblOffset val="100"/>
        <c:noMultiLvlLbl val="0"/>
      </c:catAx>
      <c:valAx>
        <c:axId val="674300184"/>
        <c:scaling>
          <c:orientation val="minMax"/>
        </c:scaling>
        <c:delete val="1"/>
        <c:axPos val="l"/>
        <c:numFmt formatCode="General" sourceLinked="1"/>
        <c:majorTickMark val="none"/>
        <c:minorTickMark val="none"/>
        <c:tickLblPos val="nextTo"/>
        <c:crossAx val="67430090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 (HR).xlsx]Pivot 4!PivotTable21</c:name>
    <c:fmtId val="3"/>
  </c:pivotSource>
  <c:chart>
    <c:title>
      <c:tx>
        <c:rich>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r>
              <a:rPr lang="en-US" sz="2800"/>
              <a:t> Turnover</a:t>
            </a:r>
          </a:p>
        </c:rich>
      </c:tx>
      <c:overlay val="0"/>
      <c:spPr>
        <a:noFill/>
        <a:ln>
          <a:noFill/>
        </a:ln>
        <a:effectLst/>
      </c:spPr>
      <c:txPr>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66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4'!$B$14</c:f>
              <c:strCache>
                <c:ptCount val="1"/>
                <c:pt idx="0">
                  <c:v>Total</c:v>
                </c:pt>
              </c:strCache>
            </c:strRef>
          </c:tx>
          <c:spPr>
            <a:solidFill>
              <a:srgbClr val="006666"/>
            </a:solidFill>
            <a:ln>
              <a:noFill/>
            </a:ln>
            <a:effectLst/>
          </c:spPr>
          <c:cat>
            <c:strRef>
              <c:f>'Pivot 4'!$A$15:$A$27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4'!$B$15:$B$27</c:f>
              <c:numCache>
                <c:formatCode>0%</c:formatCode>
                <c:ptCount val="12"/>
                <c:pt idx="0">
                  <c:v>0.12</c:v>
                </c:pt>
                <c:pt idx="1">
                  <c:v>0.123</c:v>
                </c:pt>
                <c:pt idx="2">
                  <c:v>0.13</c:v>
                </c:pt>
                <c:pt idx="3">
                  <c:v>0.14000000000000001</c:v>
                </c:pt>
                <c:pt idx="4">
                  <c:v>0.12</c:v>
                </c:pt>
                <c:pt idx="5">
                  <c:v>0.13</c:v>
                </c:pt>
                <c:pt idx="6">
                  <c:v>0.19</c:v>
                </c:pt>
                <c:pt idx="7">
                  <c:v>0.18</c:v>
                </c:pt>
                <c:pt idx="8">
                  <c:v>0.16</c:v>
                </c:pt>
                <c:pt idx="9">
                  <c:v>0.15</c:v>
                </c:pt>
                <c:pt idx="10">
                  <c:v>0.12</c:v>
                </c:pt>
                <c:pt idx="11">
                  <c:v>0.16</c:v>
                </c:pt>
              </c:numCache>
            </c:numRef>
          </c:val>
          <c:extLst>
            <c:ext xmlns:c16="http://schemas.microsoft.com/office/drawing/2014/chart" uri="{C3380CC4-5D6E-409C-BE32-E72D297353CC}">
              <c16:uniqueId val="{00000000-BFFC-447D-BF13-D8D14E3CB7D4}"/>
            </c:ext>
          </c:extLst>
        </c:ser>
        <c:dLbls>
          <c:showLegendKey val="0"/>
          <c:showVal val="0"/>
          <c:showCatName val="0"/>
          <c:showSerName val="0"/>
          <c:showPercent val="0"/>
          <c:showBubbleSize val="0"/>
        </c:dLbls>
        <c:axId val="325190752"/>
        <c:axId val="325194352"/>
      </c:areaChart>
      <c:catAx>
        <c:axId val="3251907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194352"/>
        <c:crosses val="autoZero"/>
        <c:auto val="1"/>
        <c:lblAlgn val="ctr"/>
        <c:lblOffset val="100"/>
        <c:noMultiLvlLbl val="0"/>
      </c:catAx>
      <c:valAx>
        <c:axId val="3251943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1907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 (HR).xlsx]Pivot 4!PivotTable23</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65000"/>
            </a:schemeClr>
          </a:solidFill>
          <a:ln>
            <a:noFill/>
          </a:ln>
          <a:effectLst/>
        </c:spPr>
        <c:marker>
          <c:symbol val="none"/>
        </c:marker>
        <c:dLbl>
          <c:idx val="0"/>
          <c:spPr>
            <a:noFill/>
            <a:ln>
              <a:noFill/>
            </a:ln>
            <a:effectLst/>
          </c:spPr>
          <c:txPr>
            <a:bodyPr rot="-5400000" spcFirstLastPara="1" vertOverflow="ellipsis" wrap="square" lIns="38100" tIns="19050" rIns="38100" bIns="19050" anchor="b" anchorCtr="0">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lumMod val="50000"/>
              </a:schemeClr>
            </a:solidFill>
            <a:round/>
          </a:ln>
          <a:effectLst>
            <a:glow rad="50800">
              <a:schemeClr val="accent1">
                <a:lumMod val="50000"/>
                <a:alpha val="40000"/>
              </a:schemeClr>
            </a:glow>
            <a:softEdge rad="0"/>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235486996850615E-2"/>
          <c:y val="7.3993951448110495E-2"/>
          <c:w val="0.96743125616144765"/>
          <c:h val="0.8416746864975212"/>
        </c:manualLayout>
      </c:layout>
      <c:barChart>
        <c:barDir val="col"/>
        <c:grouping val="clustered"/>
        <c:varyColors val="0"/>
        <c:ser>
          <c:idx val="0"/>
          <c:order val="0"/>
          <c:tx>
            <c:strRef>
              <c:f>'Pivot 4'!$J$16</c:f>
              <c:strCache>
                <c:ptCount val="1"/>
                <c:pt idx="0">
                  <c:v>Sum of % Training Effectiveness Index</c:v>
                </c:pt>
              </c:strCache>
            </c:strRef>
          </c:tx>
          <c:spPr>
            <a:solidFill>
              <a:schemeClr val="bg1">
                <a:lumMod val="65000"/>
              </a:schemeClr>
            </a:solidFill>
            <a:ln>
              <a:noFill/>
            </a:ln>
            <a:effectLst/>
          </c:spPr>
          <c:invertIfNegative val="0"/>
          <c:dLbls>
            <c:spPr>
              <a:noFill/>
              <a:ln>
                <a:noFill/>
              </a:ln>
              <a:effectLst/>
            </c:spPr>
            <c:txPr>
              <a:bodyPr rot="-5400000" spcFirstLastPara="1" vertOverflow="ellipsis" wrap="square" lIns="38100" tIns="19050" rIns="38100" bIns="19050" anchor="b" anchorCtr="0">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4'!$I$17:$I$29</c:f>
              <c:strCache>
                <c:ptCount val="12"/>
                <c:pt idx="0">
                  <c:v>5</c:v>
                </c:pt>
                <c:pt idx="1">
                  <c:v>19</c:v>
                </c:pt>
                <c:pt idx="2">
                  <c:v>40</c:v>
                </c:pt>
                <c:pt idx="3">
                  <c:v>45</c:v>
                </c:pt>
                <c:pt idx="4">
                  <c:v>53</c:v>
                </c:pt>
                <c:pt idx="5">
                  <c:v>58</c:v>
                </c:pt>
                <c:pt idx="6">
                  <c:v>73</c:v>
                </c:pt>
                <c:pt idx="7">
                  <c:v>75</c:v>
                </c:pt>
                <c:pt idx="8">
                  <c:v>101</c:v>
                </c:pt>
                <c:pt idx="9">
                  <c:v>127</c:v>
                </c:pt>
                <c:pt idx="10">
                  <c:v>158</c:v>
                </c:pt>
                <c:pt idx="11">
                  <c:v>191</c:v>
                </c:pt>
              </c:strCache>
            </c:strRef>
          </c:cat>
          <c:val>
            <c:numRef>
              <c:f>'Pivot 4'!$J$17:$J$29</c:f>
              <c:numCache>
                <c:formatCode>0%</c:formatCode>
                <c:ptCount val="12"/>
                <c:pt idx="0">
                  <c:v>0.74</c:v>
                </c:pt>
                <c:pt idx="1">
                  <c:v>0.7</c:v>
                </c:pt>
                <c:pt idx="2">
                  <c:v>0.85</c:v>
                </c:pt>
                <c:pt idx="3">
                  <c:v>0.8</c:v>
                </c:pt>
                <c:pt idx="4">
                  <c:v>0.77</c:v>
                </c:pt>
                <c:pt idx="5">
                  <c:v>0.7</c:v>
                </c:pt>
                <c:pt idx="6">
                  <c:v>0.8</c:v>
                </c:pt>
                <c:pt idx="7">
                  <c:v>0.7</c:v>
                </c:pt>
                <c:pt idx="8">
                  <c:v>0.76</c:v>
                </c:pt>
                <c:pt idx="9">
                  <c:v>0.54</c:v>
                </c:pt>
                <c:pt idx="10">
                  <c:v>0.76</c:v>
                </c:pt>
                <c:pt idx="11">
                  <c:v>0.9</c:v>
                </c:pt>
              </c:numCache>
            </c:numRef>
          </c:val>
          <c:extLst>
            <c:ext xmlns:c16="http://schemas.microsoft.com/office/drawing/2014/chart" uri="{C3380CC4-5D6E-409C-BE32-E72D297353CC}">
              <c16:uniqueId val="{00000000-419F-459B-98CE-60618F76B662}"/>
            </c:ext>
          </c:extLst>
        </c:ser>
        <c:dLbls>
          <c:dLblPos val="inBase"/>
          <c:showLegendKey val="0"/>
          <c:showVal val="1"/>
          <c:showCatName val="0"/>
          <c:showSerName val="0"/>
          <c:showPercent val="0"/>
          <c:showBubbleSize val="0"/>
        </c:dLbls>
        <c:gapWidth val="219"/>
        <c:axId val="325200472"/>
        <c:axId val="325196512"/>
      </c:barChart>
      <c:lineChart>
        <c:grouping val="standard"/>
        <c:varyColors val="0"/>
        <c:ser>
          <c:idx val="1"/>
          <c:order val="1"/>
          <c:tx>
            <c:strRef>
              <c:f>'Pivot 4'!$K$16</c:f>
              <c:strCache>
                <c:ptCount val="1"/>
                <c:pt idx="0">
                  <c:v>Sum of % Training Plan Achieved'</c:v>
                </c:pt>
              </c:strCache>
            </c:strRef>
          </c:tx>
          <c:spPr>
            <a:ln w="28575" cap="rnd">
              <a:solidFill>
                <a:schemeClr val="accent1">
                  <a:lumMod val="50000"/>
                </a:schemeClr>
              </a:solidFill>
              <a:round/>
            </a:ln>
            <a:effectLst>
              <a:glow rad="50800">
                <a:schemeClr val="accent1">
                  <a:lumMod val="50000"/>
                  <a:alpha val="40000"/>
                </a:schemeClr>
              </a:glow>
              <a:softEdge rad="0"/>
            </a:effectLst>
          </c:spPr>
          <c:marker>
            <c:symbol val="none"/>
          </c:marker>
          <c:dLbls>
            <c:spPr>
              <a:noFill/>
              <a:ln>
                <a:noFill/>
              </a:ln>
              <a:effectLst/>
            </c:spPr>
            <c:txPr>
              <a:bodyPr rot="0" spcFirstLastPara="1" vertOverflow="ellipsis" vert="horz" wrap="square" lIns="38100" tIns="19050" rIns="38100" bIns="19050" anchor="t" anchorCtr="0">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4'!$I$17:$I$29</c:f>
              <c:strCache>
                <c:ptCount val="12"/>
                <c:pt idx="0">
                  <c:v>5</c:v>
                </c:pt>
                <c:pt idx="1">
                  <c:v>19</c:v>
                </c:pt>
                <c:pt idx="2">
                  <c:v>40</c:v>
                </c:pt>
                <c:pt idx="3">
                  <c:v>45</c:v>
                </c:pt>
                <c:pt idx="4">
                  <c:v>53</c:v>
                </c:pt>
                <c:pt idx="5">
                  <c:v>58</c:v>
                </c:pt>
                <c:pt idx="6">
                  <c:v>73</c:v>
                </c:pt>
                <c:pt idx="7">
                  <c:v>75</c:v>
                </c:pt>
                <c:pt idx="8">
                  <c:v>101</c:v>
                </c:pt>
                <c:pt idx="9">
                  <c:v>127</c:v>
                </c:pt>
                <c:pt idx="10">
                  <c:v>158</c:v>
                </c:pt>
                <c:pt idx="11">
                  <c:v>191</c:v>
                </c:pt>
              </c:strCache>
            </c:strRef>
          </c:cat>
          <c:val>
            <c:numRef>
              <c:f>'Pivot 4'!$K$17:$K$29</c:f>
              <c:numCache>
                <c:formatCode>0%</c:formatCode>
                <c:ptCount val="12"/>
                <c:pt idx="0">
                  <c:v>0.8</c:v>
                </c:pt>
                <c:pt idx="1">
                  <c:v>0.4</c:v>
                </c:pt>
                <c:pt idx="2">
                  <c:v>0.55000000000000004</c:v>
                </c:pt>
                <c:pt idx="3">
                  <c:v>0.7</c:v>
                </c:pt>
                <c:pt idx="4">
                  <c:v>0.54</c:v>
                </c:pt>
                <c:pt idx="5">
                  <c:v>0.6</c:v>
                </c:pt>
                <c:pt idx="6">
                  <c:v>0.5</c:v>
                </c:pt>
                <c:pt idx="7">
                  <c:v>0.89</c:v>
                </c:pt>
                <c:pt idx="8">
                  <c:v>0.67</c:v>
                </c:pt>
                <c:pt idx="9">
                  <c:v>0.76</c:v>
                </c:pt>
                <c:pt idx="10">
                  <c:v>0.97</c:v>
                </c:pt>
                <c:pt idx="11">
                  <c:v>0.87</c:v>
                </c:pt>
              </c:numCache>
            </c:numRef>
          </c:val>
          <c:smooth val="0"/>
          <c:extLst>
            <c:ext xmlns:c16="http://schemas.microsoft.com/office/drawing/2014/chart" uri="{C3380CC4-5D6E-409C-BE32-E72D297353CC}">
              <c16:uniqueId val="{00000001-419F-459B-98CE-60618F76B662}"/>
            </c:ext>
          </c:extLst>
        </c:ser>
        <c:dLbls>
          <c:showLegendKey val="0"/>
          <c:showVal val="1"/>
          <c:showCatName val="0"/>
          <c:showSerName val="0"/>
          <c:showPercent val="0"/>
          <c:showBubbleSize val="0"/>
        </c:dLbls>
        <c:marker val="1"/>
        <c:smooth val="0"/>
        <c:axId val="325200472"/>
        <c:axId val="325196512"/>
      </c:lineChart>
      <c:catAx>
        <c:axId val="325200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196512"/>
        <c:crosses val="autoZero"/>
        <c:auto val="1"/>
        <c:lblAlgn val="ctr"/>
        <c:lblOffset val="100"/>
        <c:noMultiLvlLbl val="0"/>
      </c:catAx>
      <c:valAx>
        <c:axId val="325196512"/>
        <c:scaling>
          <c:orientation val="minMax"/>
        </c:scaling>
        <c:delete val="1"/>
        <c:axPos val="l"/>
        <c:numFmt formatCode="0%" sourceLinked="1"/>
        <c:majorTickMark val="none"/>
        <c:minorTickMark val="none"/>
        <c:tickLblPos val="nextTo"/>
        <c:crossAx val="325200472"/>
        <c:crosses val="autoZero"/>
        <c:crossBetween val="between"/>
      </c:valAx>
      <c:spPr>
        <a:noFill/>
        <a:ln>
          <a:noFill/>
        </a:ln>
        <a:effectLst/>
      </c:spPr>
    </c:plotArea>
    <c:legend>
      <c:legendPos val="r"/>
      <c:layout>
        <c:manualLayout>
          <c:xMode val="edge"/>
          <c:yMode val="edge"/>
          <c:x val="0.75990004419084178"/>
          <c:y val="1.6821815958126339E-2"/>
          <c:w val="0.23861759000936805"/>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 (HR).xlsx]Pivot 4!PivotTable22</c:name>
    <c:fmtId val="8"/>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Hr Expenses Vs Budget</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4'!$J$1</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4'!$I$2:$I$14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4'!$J$2:$J$14</c:f>
              <c:numCache>
                <c:formatCode>0%</c:formatCode>
                <c:ptCount val="12"/>
                <c:pt idx="0">
                  <c:v>0.8</c:v>
                </c:pt>
                <c:pt idx="1">
                  <c:v>0.7</c:v>
                </c:pt>
                <c:pt idx="2">
                  <c:v>0.55000000000000004</c:v>
                </c:pt>
                <c:pt idx="3">
                  <c:v>0.9</c:v>
                </c:pt>
                <c:pt idx="4">
                  <c:v>0.6</c:v>
                </c:pt>
                <c:pt idx="5">
                  <c:v>0.7</c:v>
                </c:pt>
                <c:pt idx="6">
                  <c:v>0.7</c:v>
                </c:pt>
                <c:pt idx="7">
                  <c:v>0.4</c:v>
                </c:pt>
                <c:pt idx="8">
                  <c:v>0.2</c:v>
                </c:pt>
                <c:pt idx="9">
                  <c:v>0.9</c:v>
                </c:pt>
                <c:pt idx="10">
                  <c:v>1</c:v>
                </c:pt>
                <c:pt idx="11">
                  <c:v>1</c:v>
                </c:pt>
              </c:numCache>
            </c:numRef>
          </c:val>
          <c:extLst>
            <c:ext xmlns:c16="http://schemas.microsoft.com/office/drawing/2014/chart" uri="{C3380CC4-5D6E-409C-BE32-E72D297353CC}">
              <c16:uniqueId val="{00000000-8702-480A-9687-555C23BE315B}"/>
            </c:ext>
          </c:extLst>
        </c:ser>
        <c:dLbls>
          <c:dLblPos val="ctr"/>
          <c:showLegendKey val="0"/>
          <c:showVal val="1"/>
          <c:showCatName val="0"/>
          <c:showSerName val="0"/>
          <c:showPercent val="0"/>
          <c:showBubbleSize val="0"/>
        </c:dLbls>
        <c:gapWidth val="56"/>
        <c:axId val="673889784"/>
        <c:axId val="673887624"/>
      </c:barChart>
      <c:catAx>
        <c:axId val="673889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887624"/>
        <c:crosses val="autoZero"/>
        <c:auto val="1"/>
        <c:lblAlgn val="ctr"/>
        <c:lblOffset val="100"/>
        <c:noMultiLvlLbl val="0"/>
      </c:catAx>
      <c:valAx>
        <c:axId val="67388762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889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image" Target="../media/image9.jpeg"/><Relationship Id="rId18" Type="http://schemas.openxmlformats.org/officeDocument/2006/relationships/chart" Target="../charts/chart17.xml"/><Relationship Id="rId3" Type="http://schemas.microsoft.com/office/2007/relationships/hdphoto" Target="../media/hdphoto1.wdp"/><Relationship Id="rId7" Type="http://schemas.openxmlformats.org/officeDocument/2006/relationships/image" Target="../media/image5.png"/><Relationship Id="rId12" Type="http://schemas.openxmlformats.org/officeDocument/2006/relationships/image" Target="../media/image8.png"/><Relationship Id="rId17" Type="http://schemas.openxmlformats.org/officeDocument/2006/relationships/chart" Target="../charts/chart16.xml"/><Relationship Id="rId2" Type="http://schemas.openxmlformats.org/officeDocument/2006/relationships/image" Target="../media/image1.png"/><Relationship Id="rId16" Type="http://schemas.openxmlformats.org/officeDocument/2006/relationships/chart" Target="../charts/chart15.xml"/><Relationship Id="rId20" Type="http://schemas.openxmlformats.org/officeDocument/2006/relationships/chart" Target="../charts/chart19.xml"/><Relationship Id="rId1" Type="http://schemas.openxmlformats.org/officeDocument/2006/relationships/chart" Target="../charts/chart10.xml"/><Relationship Id="rId6" Type="http://schemas.openxmlformats.org/officeDocument/2006/relationships/image" Target="../media/image4.png"/><Relationship Id="rId11" Type="http://schemas.openxmlformats.org/officeDocument/2006/relationships/chart" Target="../charts/chart12.xml"/><Relationship Id="rId5" Type="http://schemas.openxmlformats.org/officeDocument/2006/relationships/image" Target="../media/image3.png"/><Relationship Id="rId15" Type="http://schemas.openxmlformats.org/officeDocument/2006/relationships/chart" Target="../charts/chart14.xml"/><Relationship Id="rId10" Type="http://schemas.openxmlformats.org/officeDocument/2006/relationships/chart" Target="../charts/chart11.xml"/><Relationship Id="rId19" Type="http://schemas.openxmlformats.org/officeDocument/2006/relationships/chart" Target="../charts/chart18.xml"/><Relationship Id="rId4" Type="http://schemas.openxmlformats.org/officeDocument/2006/relationships/image" Target="../media/image2.png"/><Relationship Id="rId9" Type="http://schemas.openxmlformats.org/officeDocument/2006/relationships/image" Target="../media/image7.png"/><Relationship Id="rId1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10</xdr:col>
      <xdr:colOff>53340</xdr:colOff>
      <xdr:row>0</xdr:row>
      <xdr:rowOff>68580</xdr:rowOff>
    </xdr:from>
    <xdr:to>
      <xdr:col>15</xdr:col>
      <xdr:colOff>365760</xdr:colOff>
      <xdr:row>16</xdr:row>
      <xdr:rowOff>0</xdr:rowOff>
    </xdr:to>
    <xdr:graphicFrame macro="">
      <xdr:nvGraphicFramePr>
        <xdr:cNvPr id="5" name="Chart 4">
          <a:extLst>
            <a:ext uri="{FF2B5EF4-FFF2-40B4-BE49-F238E27FC236}">
              <a16:creationId xmlns:a16="http://schemas.microsoft.com/office/drawing/2014/main" id="{9E7E1DF3-D615-1FAD-6340-8F74A112C2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609600</xdr:colOff>
      <xdr:row>0</xdr:row>
      <xdr:rowOff>49530</xdr:rowOff>
    </xdr:from>
    <xdr:to>
      <xdr:col>7</xdr:col>
      <xdr:colOff>647700</xdr:colOff>
      <xdr:row>15</xdr:row>
      <xdr:rowOff>49530</xdr:rowOff>
    </xdr:to>
    <xdr:graphicFrame macro="">
      <xdr:nvGraphicFramePr>
        <xdr:cNvPr id="16" name="Chart 2">
          <a:extLst>
            <a:ext uri="{FF2B5EF4-FFF2-40B4-BE49-F238E27FC236}">
              <a16:creationId xmlns:a16="http://schemas.microsoft.com/office/drawing/2014/main" id="{C2F77E4C-A578-003A-5046-CF5132365A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31315</xdr:rowOff>
    </xdr:from>
    <xdr:to>
      <xdr:col>8</xdr:col>
      <xdr:colOff>104384</xdr:colOff>
      <xdr:row>3</xdr:row>
      <xdr:rowOff>114822</xdr:rowOff>
    </xdr:to>
    <xdr:sp macro="" textlink="">
      <xdr:nvSpPr>
        <xdr:cNvPr id="2" name="TextBox 1">
          <a:extLst>
            <a:ext uri="{FF2B5EF4-FFF2-40B4-BE49-F238E27FC236}">
              <a16:creationId xmlns:a16="http://schemas.microsoft.com/office/drawing/2014/main" id="{B3981E24-D342-7AA0-DAE9-675B125B6EAE}"/>
            </a:ext>
          </a:extLst>
        </xdr:cNvPr>
        <xdr:cNvSpPr txBox="1"/>
      </xdr:nvSpPr>
      <xdr:spPr>
        <a:xfrm>
          <a:off x="0" y="31315"/>
          <a:ext cx="4947781" cy="647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5400">
              <a:solidFill>
                <a:srgbClr val="006666"/>
              </a:solidFill>
              <a:latin typeface="Bahnschrift SemiBold SemiConden" panose="020B0502040204020203" pitchFamily="34" charset="0"/>
              <a:cs typeface="Andalus" panose="02020603050405020304" pitchFamily="18" charset="-78"/>
            </a:rPr>
            <a:t>HR</a:t>
          </a:r>
          <a:r>
            <a:rPr lang="en-US" sz="5400" baseline="0">
              <a:solidFill>
                <a:srgbClr val="006666"/>
              </a:solidFill>
              <a:latin typeface="Bahnschrift SemiBold SemiConden" panose="020B0502040204020203" pitchFamily="34" charset="0"/>
              <a:cs typeface="Andalus" panose="02020603050405020304" pitchFamily="18" charset="-78"/>
            </a:rPr>
            <a:t> Dashboard</a:t>
          </a:r>
          <a:endParaRPr lang="en-US" sz="5400">
            <a:solidFill>
              <a:srgbClr val="006666"/>
            </a:solidFill>
            <a:latin typeface="Bahnschrift SemiBold SemiConden" panose="020B0502040204020203" pitchFamily="34" charset="0"/>
            <a:cs typeface="Andalus" panose="02020603050405020304" pitchFamily="18" charset="-78"/>
          </a:endParaRPr>
        </a:p>
      </xdr:txBody>
    </xdr:sp>
    <xdr:clientData/>
  </xdr:twoCellAnchor>
  <xdr:twoCellAnchor editAs="oneCell">
    <xdr:from>
      <xdr:col>0</xdr:col>
      <xdr:colOff>0</xdr:colOff>
      <xdr:row>4</xdr:row>
      <xdr:rowOff>171814</xdr:rowOff>
    </xdr:from>
    <xdr:to>
      <xdr:col>3</xdr:col>
      <xdr:colOff>12526</xdr:colOff>
      <xdr:row>23</xdr:row>
      <xdr:rowOff>187889</xdr:rowOff>
    </xdr:to>
    <mc:AlternateContent xmlns:mc="http://schemas.openxmlformats.org/markup-compatibility/2006">
      <mc:Choice xmlns:a14="http://schemas.microsoft.com/office/drawing/2010/main" Requires="a14">
        <xdr:graphicFrame macro="">
          <xdr:nvGraphicFramePr>
            <xdr:cNvPr id="4" name="Month">
              <a:extLst>
                <a:ext uri="{FF2B5EF4-FFF2-40B4-BE49-F238E27FC236}">
                  <a16:creationId xmlns:a16="http://schemas.microsoft.com/office/drawing/2014/main" id="{C584AC19-29FE-BE8E-FB74-20CACCADFC4E}"/>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0" y="923376"/>
              <a:ext cx="1828800" cy="3578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334027</xdr:colOff>
      <xdr:row>4</xdr:row>
      <xdr:rowOff>93943</xdr:rowOff>
    </xdr:from>
    <xdr:to>
      <xdr:col>11</xdr:col>
      <xdr:colOff>109604</xdr:colOff>
      <xdr:row>22</xdr:row>
      <xdr:rowOff>167013</xdr:rowOff>
    </xdr:to>
    <xdr:graphicFrame macro="">
      <xdr:nvGraphicFramePr>
        <xdr:cNvPr id="5" name="Chart 14">
          <a:extLst>
            <a:ext uri="{FF2B5EF4-FFF2-40B4-BE49-F238E27FC236}">
              <a16:creationId xmlns:a16="http://schemas.microsoft.com/office/drawing/2014/main" id="{3EB2BDA3-DC9A-97D2-21DD-77A7B75377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53130</xdr:colOff>
      <xdr:row>4</xdr:row>
      <xdr:rowOff>83507</xdr:rowOff>
    </xdr:from>
    <xdr:to>
      <xdr:col>25</xdr:col>
      <xdr:colOff>20875</xdr:colOff>
      <xdr:row>22</xdr:row>
      <xdr:rowOff>177452</xdr:rowOff>
    </xdr:to>
    <xdr:graphicFrame macro="">
      <xdr:nvGraphicFramePr>
        <xdr:cNvPr id="6" name="Chart 1">
          <a:extLst>
            <a:ext uri="{FF2B5EF4-FFF2-40B4-BE49-F238E27FC236}">
              <a16:creationId xmlns:a16="http://schemas.microsoft.com/office/drawing/2014/main" id="{3FF8810B-734A-06CC-226B-1C03C5E154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332149</xdr:colOff>
      <xdr:row>23</xdr:row>
      <xdr:rowOff>83507</xdr:rowOff>
    </xdr:from>
    <xdr:to>
      <xdr:col>11</xdr:col>
      <xdr:colOff>73069</xdr:colOff>
      <xdr:row>43</xdr:row>
      <xdr:rowOff>93945</xdr:rowOff>
    </xdr:to>
    <xdr:graphicFrame macro="">
      <xdr:nvGraphicFramePr>
        <xdr:cNvPr id="7" name="Chart 2">
          <a:extLst>
            <a:ext uri="{FF2B5EF4-FFF2-40B4-BE49-F238E27FC236}">
              <a16:creationId xmlns:a16="http://schemas.microsoft.com/office/drawing/2014/main" id="{80E9BE8A-1D80-D662-5182-FA488F72C3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187891</xdr:colOff>
      <xdr:row>4</xdr:row>
      <xdr:rowOff>93947</xdr:rowOff>
    </xdr:from>
    <xdr:to>
      <xdr:col>17</xdr:col>
      <xdr:colOff>594986</xdr:colOff>
      <xdr:row>23</xdr:row>
      <xdr:rowOff>0</xdr:rowOff>
    </xdr:to>
    <xdr:graphicFrame macro="">
      <xdr:nvGraphicFramePr>
        <xdr:cNvPr id="8" name="Chart 1">
          <a:extLst>
            <a:ext uri="{FF2B5EF4-FFF2-40B4-BE49-F238E27FC236}">
              <a16:creationId xmlns:a16="http://schemas.microsoft.com/office/drawing/2014/main" id="{B7C95753-48AF-56B2-94D0-369E89D54C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167744</xdr:colOff>
      <xdr:row>23</xdr:row>
      <xdr:rowOff>73069</xdr:rowOff>
    </xdr:from>
    <xdr:to>
      <xdr:col>17</xdr:col>
      <xdr:colOff>605423</xdr:colOff>
      <xdr:row>43</xdr:row>
      <xdr:rowOff>83507</xdr:rowOff>
    </xdr:to>
    <xdr:graphicFrame macro="">
      <xdr:nvGraphicFramePr>
        <xdr:cNvPr id="9" name="Chart 2">
          <a:extLst>
            <a:ext uri="{FF2B5EF4-FFF2-40B4-BE49-F238E27FC236}">
              <a16:creationId xmlns:a16="http://schemas.microsoft.com/office/drawing/2014/main" id="{F810F1A8-FEB1-9413-FFFC-776D6EBB6F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96450</xdr:colOff>
      <xdr:row>23</xdr:row>
      <xdr:rowOff>47442</xdr:rowOff>
    </xdr:from>
    <xdr:to>
      <xdr:col>31</xdr:col>
      <xdr:colOff>584548</xdr:colOff>
      <xdr:row>43</xdr:row>
      <xdr:rowOff>52190</xdr:rowOff>
    </xdr:to>
    <xdr:graphicFrame macro="">
      <xdr:nvGraphicFramePr>
        <xdr:cNvPr id="11" name="Chart 4">
          <a:extLst>
            <a:ext uri="{FF2B5EF4-FFF2-40B4-BE49-F238E27FC236}">
              <a16:creationId xmlns:a16="http://schemas.microsoft.com/office/drawing/2014/main" id="{F27E4E05-1233-B33F-3E80-CD21215DCA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25</xdr:row>
      <xdr:rowOff>93945</xdr:rowOff>
    </xdr:from>
    <xdr:to>
      <xdr:col>3</xdr:col>
      <xdr:colOff>12526</xdr:colOff>
      <xdr:row>38</xdr:row>
      <xdr:rowOff>164900</xdr:rowOff>
    </xdr:to>
    <mc:AlternateContent xmlns:mc="http://schemas.openxmlformats.org/markup-compatibility/2006">
      <mc:Choice xmlns:a14="http://schemas.microsoft.com/office/drawing/2010/main" Requires="a14">
        <xdr:graphicFrame macro="">
          <xdr:nvGraphicFramePr>
            <xdr:cNvPr id="14" name="Avg Age">
              <a:extLst>
                <a:ext uri="{FF2B5EF4-FFF2-40B4-BE49-F238E27FC236}">
                  <a16:creationId xmlns:a16="http://schemas.microsoft.com/office/drawing/2014/main" id="{51FC73CA-7821-F8CD-DDD0-B2DBA85382CA}"/>
                </a:ext>
              </a:extLst>
            </xdr:cNvPr>
            <xdr:cNvGraphicFramePr/>
          </xdr:nvGraphicFramePr>
          <xdr:xfrm>
            <a:off x="0" y="0"/>
            <a:ext cx="0" cy="0"/>
          </xdr:xfrm>
          <a:graphic>
            <a:graphicData uri="http://schemas.microsoft.com/office/drawing/2010/slicer">
              <sle:slicer xmlns:sle="http://schemas.microsoft.com/office/drawing/2010/slicer" name="Avg Age"/>
            </a:graphicData>
          </a:graphic>
        </xdr:graphicFrame>
      </mc:Choice>
      <mc:Fallback>
        <xdr:sp macro="" textlink="">
          <xdr:nvSpPr>
            <xdr:cNvPr id="0" name=""/>
            <xdr:cNvSpPr>
              <a:spLocks noTextEdit="1"/>
            </xdr:cNvSpPr>
          </xdr:nvSpPr>
          <xdr:spPr>
            <a:xfrm>
              <a:off x="0" y="4791205"/>
              <a:ext cx="1828800" cy="25135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78601</xdr:colOff>
      <xdr:row>4</xdr:row>
      <xdr:rowOff>83661</xdr:rowOff>
    </xdr:from>
    <xdr:to>
      <xdr:col>31</xdr:col>
      <xdr:colOff>542795</xdr:colOff>
      <xdr:row>22</xdr:row>
      <xdr:rowOff>167013</xdr:rowOff>
    </xdr:to>
    <xdr:graphicFrame macro="">
      <xdr:nvGraphicFramePr>
        <xdr:cNvPr id="15" name="Chart 5">
          <a:extLst>
            <a:ext uri="{FF2B5EF4-FFF2-40B4-BE49-F238E27FC236}">
              <a16:creationId xmlns:a16="http://schemas.microsoft.com/office/drawing/2014/main" id="{FCC4EE1E-4E88-A531-1AF8-7A5FF4DDF6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3</xdr:col>
      <xdr:colOff>38100</xdr:colOff>
      <xdr:row>13</xdr:row>
      <xdr:rowOff>137160</xdr:rowOff>
    </xdr:from>
    <xdr:ext cx="1386840" cy="293927"/>
    <xdr:sp macro="" textlink="">
      <xdr:nvSpPr>
        <xdr:cNvPr id="45" name="TextBox 44">
          <a:extLst>
            <a:ext uri="{FF2B5EF4-FFF2-40B4-BE49-F238E27FC236}">
              <a16:creationId xmlns:a16="http://schemas.microsoft.com/office/drawing/2014/main" id="{CE02DB1F-699E-46D6-BE0F-C00AF2678D47}"/>
            </a:ext>
          </a:extLst>
        </xdr:cNvPr>
        <xdr:cNvSpPr txBox="1"/>
      </xdr:nvSpPr>
      <xdr:spPr>
        <a:xfrm>
          <a:off x="1249680" y="2514600"/>
          <a:ext cx="1386840" cy="293927"/>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400">
              <a:solidFill>
                <a:schemeClr val="tx1">
                  <a:lumMod val="50000"/>
                  <a:lumOff val="50000"/>
                </a:schemeClr>
              </a:solidFill>
              <a:latin typeface="Agency FB" panose="020B0503020202020204" pitchFamily="34" charset="0"/>
            </a:rPr>
            <a:t>Employees Aged &gt;50</a:t>
          </a:r>
        </a:p>
      </xdr:txBody>
    </xdr:sp>
    <xdr:clientData/>
  </xdr:oneCellAnchor>
  <xdr:oneCellAnchor>
    <xdr:from>
      <xdr:col>9</xdr:col>
      <xdr:colOff>147638</xdr:colOff>
      <xdr:row>9</xdr:row>
      <xdr:rowOff>89535</xdr:rowOff>
    </xdr:from>
    <xdr:ext cx="1648620" cy="293927"/>
    <xdr:sp macro="" textlink="">
      <xdr:nvSpPr>
        <xdr:cNvPr id="35" name="TextBox 34">
          <a:extLst>
            <a:ext uri="{FF2B5EF4-FFF2-40B4-BE49-F238E27FC236}">
              <a16:creationId xmlns:a16="http://schemas.microsoft.com/office/drawing/2014/main" id="{EFDFC231-EBE9-4450-BA18-7C8573C42D6E}"/>
            </a:ext>
          </a:extLst>
        </xdr:cNvPr>
        <xdr:cNvSpPr txBox="1"/>
      </xdr:nvSpPr>
      <xdr:spPr>
        <a:xfrm>
          <a:off x="5016818" y="1735455"/>
          <a:ext cx="1648620" cy="293927"/>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400">
              <a:solidFill>
                <a:schemeClr val="tx1">
                  <a:lumMod val="50000"/>
                  <a:lumOff val="50000"/>
                </a:schemeClr>
              </a:solidFill>
              <a:latin typeface="Agency FB" panose="020B0503020202020204" pitchFamily="34" charset="0"/>
            </a:rPr>
            <a:t>Payroll</a:t>
          </a:r>
        </a:p>
      </xdr:txBody>
    </xdr:sp>
    <xdr:clientData/>
  </xdr:oneCellAnchor>
  <xdr:oneCellAnchor>
    <xdr:from>
      <xdr:col>9</xdr:col>
      <xdr:colOff>132398</xdr:colOff>
      <xdr:row>5</xdr:row>
      <xdr:rowOff>51435</xdr:rowOff>
    </xdr:from>
    <xdr:ext cx="1639607" cy="293927"/>
    <xdr:sp macro="" textlink="">
      <xdr:nvSpPr>
        <xdr:cNvPr id="29" name="TextBox 28">
          <a:extLst>
            <a:ext uri="{FF2B5EF4-FFF2-40B4-BE49-F238E27FC236}">
              <a16:creationId xmlns:a16="http://schemas.microsoft.com/office/drawing/2014/main" id="{772B70C5-3771-40C3-B5F8-98FDDC820552}"/>
            </a:ext>
          </a:extLst>
        </xdr:cNvPr>
        <xdr:cNvSpPr txBox="1"/>
      </xdr:nvSpPr>
      <xdr:spPr>
        <a:xfrm>
          <a:off x="5001578" y="965835"/>
          <a:ext cx="1639607" cy="293927"/>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400">
              <a:solidFill>
                <a:schemeClr val="tx1">
                  <a:lumMod val="50000"/>
                  <a:lumOff val="50000"/>
                </a:schemeClr>
              </a:solidFill>
              <a:latin typeface="Agency FB" panose="020B0503020202020204" pitchFamily="34" charset="0"/>
            </a:rPr>
            <a:t>Over Time</a:t>
          </a:r>
          <a:r>
            <a:rPr lang="en-US" sz="1400" baseline="0">
              <a:solidFill>
                <a:schemeClr val="tx1">
                  <a:lumMod val="50000"/>
                  <a:lumOff val="50000"/>
                </a:schemeClr>
              </a:solidFill>
              <a:latin typeface="Agency FB" panose="020B0503020202020204" pitchFamily="34" charset="0"/>
            </a:rPr>
            <a:t> Cost</a:t>
          </a:r>
          <a:r>
            <a:rPr lang="en-US" sz="1400">
              <a:solidFill>
                <a:schemeClr val="tx1">
                  <a:lumMod val="50000"/>
                  <a:lumOff val="50000"/>
                </a:schemeClr>
              </a:solidFill>
              <a:latin typeface="Agency FB" panose="020B0503020202020204" pitchFamily="34" charset="0"/>
            </a:rPr>
            <a:t> </a:t>
          </a:r>
        </a:p>
      </xdr:txBody>
    </xdr:sp>
    <xdr:clientData/>
  </xdr:oneCellAnchor>
  <xdr:oneCellAnchor>
    <xdr:from>
      <xdr:col>9</xdr:col>
      <xdr:colOff>133350</xdr:colOff>
      <xdr:row>1</xdr:row>
      <xdr:rowOff>22860</xdr:rowOff>
    </xdr:from>
    <xdr:ext cx="1631945" cy="293927"/>
    <xdr:sp macro="" textlink="">
      <xdr:nvSpPr>
        <xdr:cNvPr id="27" name="TextBox 26">
          <a:extLst>
            <a:ext uri="{FF2B5EF4-FFF2-40B4-BE49-F238E27FC236}">
              <a16:creationId xmlns:a16="http://schemas.microsoft.com/office/drawing/2014/main" id="{7C47942A-FF7D-48CB-8BDF-361E1DB88907}"/>
            </a:ext>
          </a:extLst>
        </xdr:cNvPr>
        <xdr:cNvSpPr txBox="1"/>
      </xdr:nvSpPr>
      <xdr:spPr>
        <a:xfrm>
          <a:off x="5002530" y="205740"/>
          <a:ext cx="1631945" cy="293927"/>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400">
              <a:solidFill>
                <a:schemeClr val="tx1">
                  <a:lumMod val="50000"/>
                  <a:lumOff val="50000"/>
                </a:schemeClr>
              </a:solidFill>
              <a:latin typeface="Agency FB" panose="020B0503020202020204" pitchFamily="34" charset="0"/>
            </a:rPr>
            <a:t>Inentive Cost</a:t>
          </a:r>
        </a:p>
      </xdr:txBody>
    </xdr:sp>
    <xdr:clientData/>
  </xdr:oneCellAnchor>
  <xdr:twoCellAnchor>
    <xdr:from>
      <xdr:col>3</xdr:col>
      <xdr:colOff>15240</xdr:colOff>
      <xdr:row>1</xdr:row>
      <xdr:rowOff>15240</xdr:rowOff>
    </xdr:from>
    <xdr:to>
      <xdr:col>6</xdr:col>
      <xdr:colOff>259080</xdr:colOff>
      <xdr:row>13</xdr:row>
      <xdr:rowOff>83820</xdr:rowOff>
    </xdr:to>
    <xdr:graphicFrame macro="">
      <xdr:nvGraphicFramePr>
        <xdr:cNvPr id="2" name="Chart 1">
          <a:extLst>
            <a:ext uri="{FF2B5EF4-FFF2-40B4-BE49-F238E27FC236}">
              <a16:creationId xmlns:a16="http://schemas.microsoft.com/office/drawing/2014/main" id="{9BDAD693-63D8-44EF-B821-B51A309C8D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434340</xdr:colOff>
      <xdr:row>1</xdr:row>
      <xdr:rowOff>137160</xdr:rowOff>
    </xdr:from>
    <xdr:to>
      <xdr:col>7</xdr:col>
      <xdr:colOff>342290</xdr:colOff>
      <xdr:row>4</xdr:row>
      <xdr:rowOff>106070</xdr:rowOff>
    </xdr:to>
    <xdr:pic>
      <xdr:nvPicPr>
        <xdr:cNvPr id="4" name="Picture 3">
          <a:extLst>
            <a:ext uri="{FF2B5EF4-FFF2-40B4-BE49-F238E27FC236}">
              <a16:creationId xmlns:a16="http://schemas.microsoft.com/office/drawing/2014/main" id="{B4841035-B287-459F-9054-0DF2A507EB42}"/>
            </a:ext>
          </a:extLst>
        </xdr:cNvPr>
        <xdr:cNvPicPr>
          <a:picLocks noChangeAspect="1"/>
        </xdr:cNvPicPr>
      </xdr:nvPicPr>
      <xdr:blipFill>
        <a:blip xmlns:r="http://schemas.openxmlformats.org/officeDocument/2006/relationships" r:embed="rId2" cstate="print">
          <a:duotone>
            <a:prstClr val="black"/>
            <a:srgbClr val="006666">
              <a:tint val="45000"/>
              <a:satMod val="400000"/>
            </a:srgbClr>
          </a:duotone>
          <a:extLst>
            <a:ext uri="{BEBA8EAE-BF5A-486C-A8C5-ECC9F3942E4B}">
              <a14:imgProps xmlns:a14="http://schemas.microsoft.com/office/drawing/2010/main">
                <a14:imgLayer r:embed="rId3">
                  <a14:imgEffect>
                    <a14:artisticPhotocopy/>
                  </a14:imgEffect>
                </a14:imgLayer>
              </a14:imgProps>
            </a:ext>
            <a:ext uri="{28A0092B-C50C-407E-A947-70E740481C1C}">
              <a14:useLocalDpi xmlns:a14="http://schemas.microsoft.com/office/drawing/2010/main" val="0"/>
            </a:ext>
          </a:extLst>
        </a:blip>
        <a:stretch>
          <a:fillRect/>
        </a:stretch>
      </xdr:blipFill>
      <xdr:spPr>
        <a:xfrm>
          <a:off x="3474720" y="320040"/>
          <a:ext cx="517550" cy="517550"/>
        </a:xfrm>
        <a:prstGeom prst="rect">
          <a:avLst/>
        </a:prstGeom>
      </xdr:spPr>
    </xdr:pic>
    <xdr:clientData/>
  </xdr:twoCellAnchor>
  <xdr:oneCellAnchor>
    <xdr:from>
      <xdr:col>6</xdr:col>
      <xdr:colOff>297180</xdr:colOff>
      <xdr:row>4</xdr:row>
      <xdr:rowOff>167640</xdr:rowOff>
    </xdr:from>
    <xdr:ext cx="784860" cy="335348"/>
    <xdr:sp macro="" textlink="$W$7">
      <xdr:nvSpPr>
        <xdr:cNvPr id="5" name="TextBox 4">
          <a:extLst>
            <a:ext uri="{FF2B5EF4-FFF2-40B4-BE49-F238E27FC236}">
              <a16:creationId xmlns:a16="http://schemas.microsoft.com/office/drawing/2014/main" id="{B6E2A8A4-BEF1-4337-B5FA-66AED189E2B0}"/>
            </a:ext>
          </a:extLst>
        </xdr:cNvPr>
        <xdr:cNvSpPr txBox="1"/>
      </xdr:nvSpPr>
      <xdr:spPr>
        <a:xfrm>
          <a:off x="3337560" y="899160"/>
          <a:ext cx="784860" cy="33534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6CB4BC33-B3F3-498C-A413-67EA0A051895}" type="TxLink">
            <a:rPr lang="en-US" sz="1600" b="0" i="0" u="none" strike="noStrike">
              <a:solidFill>
                <a:srgbClr val="006666"/>
              </a:solidFill>
              <a:latin typeface="Agency FB" panose="020B0503020202020204" pitchFamily="34" charset="0"/>
              <a:cs typeface="Calibri"/>
            </a:rPr>
            <a:pPr algn="ctr"/>
            <a:t> 3,200 </a:t>
          </a:fld>
          <a:endParaRPr lang="en-US" sz="1600">
            <a:solidFill>
              <a:srgbClr val="006666"/>
            </a:solidFill>
            <a:latin typeface="Agency FB" panose="020B0503020202020204" pitchFamily="34" charset="0"/>
          </a:endParaRPr>
        </a:p>
      </xdr:txBody>
    </xdr:sp>
    <xdr:clientData/>
  </xdr:oneCellAnchor>
  <xdr:twoCellAnchor>
    <xdr:from>
      <xdr:col>6</xdr:col>
      <xdr:colOff>297180</xdr:colOff>
      <xdr:row>1</xdr:row>
      <xdr:rowOff>22860</xdr:rowOff>
    </xdr:from>
    <xdr:to>
      <xdr:col>7</xdr:col>
      <xdr:colOff>480060</xdr:colOff>
      <xdr:row>7</xdr:row>
      <xdr:rowOff>22860</xdr:rowOff>
    </xdr:to>
    <xdr:sp macro="" textlink="">
      <xdr:nvSpPr>
        <xdr:cNvPr id="6" name="Rectangle 5">
          <a:extLst>
            <a:ext uri="{FF2B5EF4-FFF2-40B4-BE49-F238E27FC236}">
              <a16:creationId xmlns:a16="http://schemas.microsoft.com/office/drawing/2014/main" id="{71FD5D80-5DE3-4925-801F-4700288708C8}"/>
            </a:ext>
          </a:extLst>
        </xdr:cNvPr>
        <xdr:cNvSpPr/>
      </xdr:nvSpPr>
      <xdr:spPr>
        <a:xfrm>
          <a:off x="3337560" y="205740"/>
          <a:ext cx="792480" cy="1097280"/>
        </a:xfrm>
        <a:prstGeom prst="rect">
          <a:avLst/>
        </a:prstGeom>
        <a:noFill/>
        <a:ln w="3175">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289560</xdr:colOff>
      <xdr:row>7</xdr:row>
      <xdr:rowOff>76200</xdr:rowOff>
    </xdr:from>
    <xdr:to>
      <xdr:col>7</xdr:col>
      <xdr:colOff>472440</xdr:colOff>
      <xdr:row>13</xdr:row>
      <xdr:rowOff>76200</xdr:rowOff>
    </xdr:to>
    <xdr:sp macro="" textlink="">
      <xdr:nvSpPr>
        <xdr:cNvPr id="7" name="Rectangle 6">
          <a:extLst>
            <a:ext uri="{FF2B5EF4-FFF2-40B4-BE49-F238E27FC236}">
              <a16:creationId xmlns:a16="http://schemas.microsoft.com/office/drawing/2014/main" id="{BB35E272-4364-4FD7-8E5B-FD3571EAB940}"/>
            </a:ext>
          </a:extLst>
        </xdr:cNvPr>
        <xdr:cNvSpPr/>
      </xdr:nvSpPr>
      <xdr:spPr>
        <a:xfrm>
          <a:off x="3329940" y="1356360"/>
          <a:ext cx="792480" cy="1097280"/>
        </a:xfrm>
        <a:prstGeom prst="rect">
          <a:avLst/>
        </a:prstGeom>
        <a:noFill/>
        <a:ln w="3175">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388619</xdr:colOff>
      <xdr:row>7</xdr:row>
      <xdr:rowOff>122937</xdr:rowOff>
    </xdr:from>
    <xdr:to>
      <xdr:col>7</xdr:col>
      <xdr:colOff>358140</xdr:colOff>
      <xdr:row>10</xdr:row>
      <xdr:rowOff>153418</xdr:rowOff>
    </xdr:to>
    <xdr:pic>
      <xdr:nvPicPr>
        <xdr:cNvPr id="9" name="Picture 8">
          <a:extLst>
            <a:ext uri="{FF2B5EF4-FFF2-40B4-BE49-F238E27FC236}">
              <a16:creationId xmlns:a16="http://schemas.microsoft.com/office/drawing/2014/main" id="{7B3CEFCD-0EC7-45BF-979A-4807C185411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428999" y="1403097"/>
          <a:ext cx="579121" cy="579121"/>
        </a:xfrm>
        <a:prstGeom prst="rect">
          <a:avLst/>
        </a:prstGeom>
      </xdr:spPr>
    </xdr:pic>
    <xdr:clientData/>
  </xdr:twoCellAnchor>
  <xdr:oneCellAnchor>
    <xdr:from>
      <xdr:col>6</xdr:col>
      <xdr:colOff>320040</xdr:colOff>
      <xdr:row>11</xdr:row>
      <xdr:rowOff>53340</xdr:rowOff>
    </xdr:from>
    <xdr:ext cx="762000" cy="335348"/>
    <xdr:sp macro="" textlink="$W$10">
      <xdr:nvSpPr>
        <xdr:cNvPr id="10" name="TextBox 9">
          <a:extLst>
            <a:ext uri="{FF2B5EF4-FFF2-40B4-BE49-F238E27FC236}">
              <a16:creationId xmlns:a16="http://schemas.microsoft.com/office/drawing/2014/main" id="{06633977-7E11-48E0-9CD7-0873703F3408}"/>
            </a:ext>
          </a:extLst>
        </xdr:cNvPr>
        <xdr:cNvSpPr txBox="1"/>
      </xdr:nvSpPr>
      <xdr:spPr>
        <a:xfrm>
          <a:off x="3360420" y="2065020"/>
          <a:ext cx="762000" cy="33534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372B66B8-A551-4838-A21B-E55747CEFA6F}" type="TxLink">
            <a:rPr lang="en-US" sz="1600" b="0" i="0" u="none" strike="noStrike">
              <a:solidFill>
                <a:srgbClr val="006666"/>
              </a:solidFill>
              <a:latin typeface="Agency FB" panose="020B0503020202020204" pitchFamily="34" charset="0"/>
              <a:cs typeface="Calibri"/>
            </a:rPr>
            <a:pPr algn="ctr"/>
            <a:t>30.94%</a:t>
          </a:fld>
          <a:endParaRPr lang="en-US" sz="2400">
            <a:solidFill>
              <a:srgbClr val="006666"/>
            </a:solidFill>
            <a:latin typeface="Agency FB" panose="020B0503020202020204" pitchFamily="34" charset="0"/>
          </a:endParaRPr>
        </a:p>
      </xdr:txBody>
    </xdr:sp>
    <xdr:clientData/>
  </xdr:oneCellAnchor>
  <xdr:oneCellAnchor>
    <xdr:from>
      <xdr:col>7</xdr:col>
      <xdr:colOff>487680</xdr:colOff>
      <xdr:row>0</xdr:row>
      <xdr:rowOff>685800</xdr:rowOff>
    </xdr:from>
    <xdr:ext cx="841834" cy="293927"/>
    <xdr:sp macro="" textlink="">
      <xdr:nvSpPr>
        <xdr:cNvPr id="11" name="TextBox 10">
          <a:extLst>
            <a:ext uri="{FF2B5EF4-FFF2-40B4-BE49-F238E27FC236}">
              <a16:creationId xmlns:a16="http://schemas.microsoft.com/office/drawing/2014/main" id="{20FDFBD5-FE4D-45E7-9EF3-3029FD1B0E39}"/>
            </a:ext>
          </a:extLst>
        </xdr:cNvPr>
        <xdr:cNvSpPr txBox="1"/>
      </xdr:nvSpPr>
      <xdr:spPr>
        <a:xfrm>
          <a:off x="4137660" y="685800"/>
          <a:ext cx="841834" cy="2939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tx1">
                  <a:lumMod val="50000"/>
                  <a:lumOff val="50000"/>
                </a:schemeClr>
              </a:solidFill>
              <a:latin typeface="Agency FB" panose="020B0503020202020204" pitchFamily="34" charset="0"/>
            </a:rPr>
            <a:t>Sick Leaves</a:t>
          </a:r>
        </a:p>
      </xdr:txBody>
    </xdr:sp>
    <xdr:clientData/>
  </xdr:oneCellAnchor>
  <xdr:twoCellAnchor>
    <xdr:from>
      <xdr:col>7</xdr:col>
      <xdr:colOff>533400</xdr:colOff>
      <xdr:row>1</xdr:row>
      <xdr:rowOff>22860</xdr:rowOff>
    </xdr:from>
    <xdr:to>
      <xdr:col>9</xdr:col>
      <xdr:colOff>106680</xdr:colOff>
      <xdr:row>7</xdr:row>
      <xdr:rowOff>22860</xdr:rowOff>
    </xdr:to>
    <xdr:sp macro="" textlink="">
      <xdr:nvSpPr>
        <xdr:cNvPr id="12" name="Rectangle 11">
          <a:extLst>
            <a:ext uri="{FF2B5EF4-FFF2-40B4-BE49-F238E27FC236}">
              <a16:creationId xmlns:a16="http://schemas.microsoft.com/office/drawing/2014/main" id="{7CB362FC-A1E7-439E-A28D-C91EB247351C}"/>
            </a:ext>
          </a:extLst>
        </xdr:cNvPr>
        <xdr:cNvSpPr/>
      </xdr:nvSpPr>
      <xdr:spPr>
        <a:xfrm>
          <a:off x="4183380" y="205740"/>
          <a:ext cx="792480" cy="1097280"/>
        </a:xfrm>
        <a:prstGeom prst="rect">
          <a:avLst/>
        </a:prstGeom>
        <a:noFill/>
        <a:ln w="3175">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7</xdr:col>
      <xdr:colOff>548640</xdr:colOff>
      <xdr:row>4</xdr:row>
      <xdr:rowOff>167640</xdr:rowOff>
    </xdr:from>
    <xdr:ext cx="777240" cy="335348"/>
    <xdr:sp macro="" textlink="$W$13">
      <xdr:nvSpPr>
        <xdr:cNvPr id="13" name="TextBox 12">
          <a:extLst>
            <a:ext uri="{FF2B5EF4-FFF2-40B4-BE49-F238E27FC236}">
              <a16:creationId xmlns:a16="http://schemas.microsoft.com/office/drawing/2014/main" id="{A289FB42-A2BD-434D-B6FD-F3E53C66FA90}"/>
            </a:ext>
          </a:extLst>
        </xdr:cNvPr>
        <xdr:cNvSpPr txBox="1"/>
      </xdr:nvSpPr>
      <xdr:spPr>
        <a:xfrm>
          <a:off x="4198620" y="899160"/>
          <a:ext cx="777240" cy="33534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fld id="{DA5BCE00-FA73-4118-BCE4-FAB047234149}" type="TxLink">
            <a:rPr lang="en-US" sz="1600" b="0" i="0" u="none" strike="noStrike">
              <a:solidFill>
                <a:srgbClr val="006666"/>
              </a:solidFill>
              <a:latin typeface="Agency FB" panose="020B0503020202020204" pitchFamily="34" charset="0"/>
              <a:ea typeface="+mn-ea"/>
              <a:cs typeface="Calibri"/>
            </a:rPr>
            <a:pPr marL="0" indent="0" algn="ctr"/>
            <a:t>14</a:t>
          </a:fld>
          <a:endParaRPr lang="en-US" sz="1600" b="0" i="0" u="none" strike="noStrike">
            <a:solidFill>
              <a:srgbClr val="006666"/>
            </a:solidFill>
            <a:latin typeface="Agency FB" panose="020B0503020202020204" pitchFamily="34" charset="0"/>
            <a:ea typeface="+mn-ea"/>
            <a:cs typeface="Calibri"/>
          </a:endParaRPr>
        </a:p>
      </xdr:txBody>
    </xdr:sp>
    <xdr:clientData/>
  </xdr:oneCellAnchor>
  <xdr:twoCellAnchor editAs="oneCell">
    <xdr:from>
      <xdr:col>8</xdr:col>
      <xdr:colOff>67970</xdr:colOff>
      <xdr:row>2</xdr:row>
      <xdr:rowOff>68580</xdr:rowOff>
    </xdr:from>
    <xdr:to>
      <xdr:col>8</xdr:col>
      <xdr:colOff>525170</xdr:colOff>
      <xdr:row>4</xdr:row>
      <xdr:rowOff>160020</xdr:rowOff>
    </xdr:to>
    <xdr:pic>
      <xdr:nvPicPr>
        <xdr:cNvPr id="15" name="Picture 14">
          <a:extLst>
            <a:ext uri="{FF2B5EF4-FFF2-40B4-BE49-F238E27FC236}">
              <a16:creationId xmlns:a16="http://schemas.microsoft.com/office/drawing/2014/main" id="{73EF1B9E-2212-4570-B506-FE402AE4C178}"/>
            </a:ext>
          </a:extLst>
        </xdr:cNvPr>
        <xdr:cNvPicPr>
          <a:picLocks noChangeAspect="1"/>
        </xdr:cNvPicPr>
      </xdr:nvPicPr>
      <xdr:blipFill>
        <a:blip xmlns:r="http://schemas.openxmlformats.org/officeDocument/2006/relationships" r:embed="rId5"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4327550" y="434340"/>
          <a:ext cx="457200" cy="457200"/>
        </a:xfrm>
        <a:prstGeom prst="rect">
          <a:avLst/>
        </a:prstGeom>
      </xdr:spPr>
    </xdr:pic>
    <xdr:clientData/>
  </xdr:twoCellAnchor>
  <xdr:twoCellAnchor>
    <xdr:from>
      <xdr:col>7</xdr:col>
      <xdr:colOff>525780</xdr:colOff>
      <xdr:row>7</xdr:row>
      <xdr:rowOff>76200</xdr:rowOff>
    </xdr:from>
    <xdr:to>
      <xdr:col>9</xdr:col>
      <xdr:colOff>99060</xdr:colOff>
      <xdr:row>13</xdr:row>
      <xdr:rowOff>76200</xdr:rowOff>
    </xdr:to>
    <xdr:sp macro="" textlink="">
      <xdr:nvSpPr>
        <xdr:cNvPr id="16" name="Rectangle 15">
          <a:extLst>
            <a:ext uri="{FF2B5EF4-FFF2-40B4-BE49-F238E27FC236}">
              <a16:creationId xmlns:a16="http://schemas.microsoft.com/office/drawing/2014/main" id="{97D34D4C-7962-46E5-A481-43C0F7781457}"/>
            </a:ext>
          </a:extLst>
        </xdr:cNvPr>
        <xdr:cNvSpPr/>
      </xdr:nvSpPr>
      <xdr:spPr>
        <a:xfrm>
          <a:off x="4175760" y="1356360"/>
          <a:ext cx="792480" cy="1097280"/>
        </a:xfrm>
        <a:prstGeom prst="rect">
          <a:avLst/>
        </a:prstGeom>
        <a:noFill/>
        <a:ln w="3175">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7</xdr:col>
      <xdr:colOff>495300</xdr:colOff>
      <xdr:row>7</xdr:row>
      <xdr:rowOff>83820</xdr:rowOff>
    </xdr:from>
    <xdr:ext cx="799258" cy="293927"/>
    <xdr:sp macro="" textlink="">
      <xdr:nvSpPr>
        <xdr:cNvPr id="17" name="TextBox 16">
          <a:extLst>
            <a:ext uri="{FF2B5EF4-FFF2-40B4-BE49-F238E27FC236}">
              <a16:creationId xmlns:a16="http://schemas.microsoft.com/office/drawing/2014/main" id="{6F01BDFF-B141-427A-8AC8-329656C96165}"/>
            </a:ext>
          </a:extLst>
        </xdr:cNvPr>
        <xdr:cNvSpPr txBox="1"/>
      </xdr:nvSpPr>
      <xdr:spPr>
        <a:xfrm>
          <a:off x="4145280" y="1363980"/>
          <a:ext cx="799258" cy="2939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tx1">
                  <a:lumMod val="50000"/>
                  <a:lumOff val="50000"/>
                </a:schemeClr>
              </a:solidFill>
              <a:latin typeface="Agency FB" panose="020B0503020202020204" pitchFamily="34" charset="0"/>
            </a:rPr>
            <a:t>Late Hours</a:t>
          </a:r>
        </a:p>
      </xdr:txBody>
    </xdr:sp>
    <xdr:clientData/>
  </xdr:oneCellAnchor>
  <xdr:twoCellAnchor editAs="oneCell">
    <xdr:from>
      <xdr:col>8</xdr:col>
      <xdr:colOff>106680</xdr:colOff>
      <xdr:row>9</xdr:row>
      <xdr:rowOff>15240</xdr:rowOff>
    </xdr:from>
    <xdr:to>
      <xdr:col>8</xdr:col>
      <xdr:colOff>471830</xdr:colOff>
      <xdr:row>11</xdr:row>
      <xdr:rowOff>14630</xdr:rowOff>
    </xdr:to>
    <xdr:pic>
      <xdr:nvPicPr>
        <xdr:cNvPr id="19" name="Picture 18">
          <a:extLst>
            <a:ext uri="{FF2B5EF4-FFF2-40B4-BE49-F238E27FC236}">
              <a16:creationId xmlns:a16="http://schemas.microsoft.com/office/drawing/2014/main" id="{55C81286-AD79-4593-8400-B352FC76E386}"/>
            </a:ext>
          </a:extLst>
        </xdr:cNvPr>
        <xdr:cNvPicPr>
          <a:picLocks noChangeAspect="1"/>
        </xdr:cNvPicPr>
      </xdr:nvPicPr>
      <xdr:blipFill>
        <a:blip xmlns:r="http://schemas.openxmlformats.org/officeDocument/2006/relationships" r:embed="rId6"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4366260" y="1661160"/>
          <a:ext cx="365150" cy="365150"/>
        </a:xfrm>
        <a:prstGeom prst="rect">
          <a:avLst/>
        </a:prstGeom>
      </xdr:spPr>
    </xdr:pic>
    <xdr:clientData/>
  </xdr:twoCellAnchor>
  <xdr:oneCellAnchor>
    <xdr:from>
      <xdr:col>7</xdr:col>
      <xdr:colOff>510540</xdr:colOff>
      <xdr:row>11</xdr:row>
      <xdr:rowOff>53340</xdr:rowOff>
    </xdr:from>
    <xdr:ext cx="777240" cy="335348"/>
    <xdr:sp macro="" textlink="$W$16">
      <xdr:nvSpPr>
        <xdr:cNvPr id="20" name="TextBox 19">
          <a:extLst>
            <a:ext uri="{FF2B5EF4-FFF2-40B4-BE49-F238E27FC236}">
              <a16:creationId xmlns:a16="http://schemas.microsoft.com/office/drawing/2014/main" id="{119B3C28-F483-4996-9369-D260638C32E4}"/>
            </a:ext>
          </a:extLst>
        </xdr:cNvPr>
        <xdr:cNvSpPr txBox="1"/>
      </xdr:nvSpPr>
      <xdr:spPr>
        <a:xfrm>
          <a:off x="4160520" y="2065020"/>
          <a:ext cx="777240" cy="33534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fld id="{189468EE-D42A-492C-ACAF-2E42EEB60205}" type="TxLink">
            <a:rPr lang="en-US" sz="1600" b="0" i="0" u="none" strike="noStrike">
              <a:solidFill>
                <a:srgbClr val="006666"/>
              </a:solidFill>
              <a:latin typeface="Agency FB" panose="020B0503020202020204" pitchFamily="34" charset="0"/>
              <a:ea typeface="+mn-ea"/>
              <a:cs typeface="Calibri"/>
            </a:rPr>
            <a:pPr marL="0" indent="0" algn="ctr"/>
            <a:t>87</a:t>
          </a:fld>
          <a:endParaRPr lang="en-US" sz="1600" b="0" i="0" u="none" strike="noStrike">
            <a:solidFill>
              <a:srgbClr val="006666"/>
            </a:solidFill>
            <a:latin typeface="Agency FB" panose="020B0503020202020204" pitchFamily="34" charset="0"/>
            <a:ea typeface="+mn-ea"/>
            <a:cs typeface="Calibri"/>
          </a:endParaRPr>
        </a:p>
      </xdr:txBody>
    </xdr:sp>
    <xdr:clientData/>
  </xdr:oneCellAnchor>
  <xdr:twoCellAnchor>
    <xdr:from>
      <xdr:col>9</xdr:col>
      <xdr:colOff>144780</xdr:colOff>
      <xdr:row>1</xdr:row>
      <xdr:rowOff>22860</xdr:rowOff>
    </xdr:from>
    <xdr:to>
      <xdr:col>11</xdr:col>
      <xdr:colOff>548640</xdr:colOff>
      <xdr:row>5</xdr:row>
      <xdr:rowOff>17929</xdr:rowOff>
    </xdr:to>
    <xdr:sp macro="" textlink="">
      <xdr:nvSpPr>
        <xdr:cNvPr id="21" name="Rectangle 20">
          <a:extLst>
            <a:ext uri="{FF2B5EF4-FFF2-40B4-BE49-F238E27FC236}">
              <a16:creationId xmlns:a16="http://schemas.microsoft.com/office/drawing/2014/main" id="{32995D96-0499-4AC1-A4F7-BE7A2932029B}"/>
            </a:ext>
          </a:extLst>
        </xdr:cNvPr>
        <xdr:cNvSpPr/>
      </xdr:nvSpPr>
      <xdr:spPr>
        <a:xfrm>
          <a:off x="5013960" y="205740"/>
          <a:ext cx="1623060" cy="726589"/>
        </a:xfrm>
        <a:prstGeom prst="rect">
          <a:avLst/>
        </a:prstGeom>
        <a:noFill/>
        <a:ln w="3175">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135816</xdr:colOff>
      <xdr:row>9</xdr:row>
      <xdr:rowOff>94129</xdr:rowOff>
    </xdr:from>
    <xdr:to>
      <xdr:col>11</xdr:col>
      <xdr:colOff>556260</xdr:colOff>
      <xdr:row>13</xdr:row>
      <xdr:rowOff>76200</xdr:rowOff>
    </xdr:to>
    <xdr:sp macro="" textlink="">
      <xdr:nvSpPr>
        <xdr:cNvPr id="24" name="Rectangle 23">
          <a:extLst>
            <a:ext uri="{FF2B5EF4-FFF2-40B4-BE49-F238E27FC236}">
              <a16:creationId xmlns:a16="http://schemas.microsoft.com/office/drawing/2014/main" id="{EDB8ADCE-40D9-446E-8215-DD92A04E8C2B}"/>
            </a:ext>
          </a:extLst>
        </xdr:cNvPr>
        <xdr:cNvSpPr/>
      </xdr:nvSpPr>
      <xdr:spPr>
        <a:xfrm>
          <a:off x="5004996" y="1740049"/>
          <a:ext cx="1639644" cy="713591"/>
        </a:xfrm>
        <a:prstGeom prst="rect">
          <a:avLst/>
        </a:prstGeom>
        <a:noFill/>
        <a:ln w="3175">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144780</xdr:colOff>
      <xdr:row>5</xdr:row>
      <xdr:rowOff>58001</xdr:rowOff>
    </xdr:from>
    <xdr:to>
      <xdr:col>11</xdr:col>
      <xdr:colOff>556260</xdr:colOff>
      <xdr:row>9</xdr:row>
      <xdr:rowOff>54057</xdr:rowOff>
    </xdr:to>
    <xdr:sp macro="" textlink="">
      <xdr:nvSpPr>
        <xdr:cNvPr id="25" name="Rectangle 24">
          <a:extLst>
            <a:ext uri="{FF2B5EF4-FFF2-40B4-BE49-F238E27FC236}">
              <a16:creationId xmlns:a16="http://schemas.microsoft.com/office/drawing/2014/main" id="{95AE935C-122D-44C8-81D3-E07711FEADCE}"/>
            </a:ext>
          </a:extLst>
        </xdr:cNvPr>
        <xdr:cNvSpPr/>
      </xdr:nvSpPr>
      <xdr:spPr>
        <a:xfrm>
          <a:off x="5013960" y="972401"/>
          <a:ext cx="1630680" cy="727576"/>
        </a:xfrm>
        <a:prstGeom prst="rect">
          <a:avLst/>
        </a:prstGeom>
        <a:noFill/>
        <a:ln w="3175">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9</xdr:col>
      <xdr:colOff>165007</xdr:colOff>
      <xdr:row>3</xdr:row>
      <xdr:rowOff>49475</xdr:rowOff>
    </xdr:from>
    <xdr:ext cx="2081212" cy="335348"/>
    <xdr:sp macro="" textlink="$W$23">
      <xdr:nvSpPr>
        <xdr:cNvPr id="28" name="TextBox 27">
          <a:extLst>
            <a:ext uri="{FF2B5EF4-FFF2-40B4-BE49-F238E27FC236}">
              <a16:creationId xmlns:a16="http://schemas.microsoft.com/office/drawing/2014/main" id="{9677996A-CB59-49AF-9B36-C53ADAB49695}"/>
            </a:ext>
          </a:extLst>
        </xdr:cNvPr>
        <xdr:cNvSpPr txBox="1"/>
      </xdr:nvSpPr>
      <xdr:spPr>
        <a:xfrm>
          <a:off x="5034187" y="598115"/>
          <a:ext cx="2081212" cy="33534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fld id="{555ABAA0-2F70-4E31-851E-A7F940F1B866}" type="TxLink">
            <a:rPr lang="en-US" sz="1600" b="0" i="0" u="none" strike="noStrike">
              <a:solidFill>
                <a:srgbClr val="006666"/>
              </a:solidFill>
              <a:latin typeface="Agency FB" panose="020B0503020202020204" pitchFamily="34" charset="0"/>
              <a:ea typeface="+mn-ea"/>
              <a:cs typeface="Calibri"/>
            </a:rPr>
            <a:pPr marL="0" indent="0" algn="ctr"/>
            <a:t> $888,950.00 </a:t>
          </a:fld>
          <a:endParaRPr lang="en-US" sz="1600" b="0" i="0" u="none" strike="noStrike">
            <a:solidFill>
              <a:srgbClr val="006666"/>
            </a:solidFill>
            <a:latin typeface="Agency FB" panose="020B0503020202020204" pitchFamily="34" charset="0"/>
            <a:ea typeface="+mn-ea"/>
            <a:cs typeface="Calibri"/>
          </a:endParaRPr>
        </a:p>
      </xdr:txBody>
    </xdr:sp>
    <xdr:clientData/>
  </xdr:oneCellAnchor>
  <xdr:oneCellAnchor>
    <xdr:from>
      <xdr:col>9</xdr:col>
      <xdr:colOff>114300</xdr:colOff>
      <xdr:row>7</xdr:row>
      <xdr:rowOff>99060</xdr:rowOff>
    </xdr:from>
    <xdr:ext cx="2081212" cy="335348"/>
    <xdr:sp macro="" textlink="$W$27">
      <xdr:nvSpPr>
        <xdr:cNvPr id="30" name="TextBox 29">
          <a:extLst>
            <a:ext uri="{FF2B5EF4-FFF2-40B4-BE49-F238E27FC236}">
              <a16:creationId xmlns:a16="http://schemas.microsoft.com/office/drawing/2014/main" id="{E924FD4C-D626-4267-9CD1-F4F8EFC5B8EF}"/>
            </a:ext>
          </a:extLst>
        </xdr:cNvPr>
        <xdr:cNvSpPr txBox="1"/>
      </xdr:nvSpPr>
      <xdr:spPr>
        <a:xfrm>
          <a:off x="4983480" y="1379220"/>
          <a:ext cx="2081212" cy="33534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fld id="{3D26384B-1376-47DA-A84E-B389024B79C7}" type="TxLink">
            <a:rPr lang="en-US" sz="1600" b="0" i="0" u="none" strike="noStrike">
              <a:solidFill>
                <a:srgbClr val="006666"/>
              </a:solidFill>
              <a:latin typeface="Agency FB" panose="020B0503020202020204" pitchFamily="34" charset="0"/>
              <a:ea typeface="+mn-ea"/>
              <a:cs typeface="Calibri"/>
            </a:rPr>
            <a:pPr marL="0" indent="0" algn="ctr"/>
            <a:t> $253,079.00 </a:t>
          </a:fld>
          <a:endParaRPr lang="en-US" sz="1600" b="0" i="0" u="none" strike="noStrike">
            <a:solidFill>
              <a:srgbClr val="006666"/>
            </a:solidFill>
            <a:latin typeface="Agency FB" panose="020B0503020202020204" pitchFamily="34" charset="0"/>
            <a:ea typeface="+mn-ea"/>
            <a:cs typeface="Calibri"/>
          </a:endParaRPr>
        </a:p>
      </xdr:txBody>
    </xdr:sp>
    <xdr:clientData/>
  </xdr:oneCellAnchor>
  <xdr:twoCellAnchor editAs="oneCell">
    <xdr:from>
      <xdr:col>9</xdr:col>
      <xdr:colOff>182880</xdr:colOff>
      <xdr:row>6</xdr:row>
      <xdr:rowOff>159410</xdr:rowOff>
    </xdr:from>
    <xdr:to>
      <xdr:col>9</xdr:col>
      <xdr:colOff>601980</xdr:colOff>
      <xdr:row>9</xdr:row>
      <xdr:rowOff>29870</xdr:rowOff>
    </xdr:to>
    <xdr:pic>
      <xdr:nvPicPr>
        <xdr:cNvPr id="32" name="Picture 31">
          <a:extLst>
            <a:ext uri="{FF2B5EF4-FFF2-40B4-BE49-F238E27FC236}">
              <a16:creationId xmlns:a16="http://schemas.microsoft.com/office/drawing/2014/main" id="{A965DEB8-2DC0-447F-BEA4-2D831EE15311}"/>
            </a:ext>
          </a:extLst>
        </xdr:cNvPr>
        <xdr:cNvPicPr>
          <a:picLocks noChangeAspect="1"/>
        </xdr:cNvPicPr>
      </xdr:nvPicPr>
      <xdr:blipFill>
        <a:blip xmlns:r="http://schemas.openxmlformats.org/officeDocument/2006/relationships" r:embed="rId7"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5052060" y="1256690"/>
          <a:ext cx="419100" cy="419100"/>
        </a:xfrm>
        <a:prstGeom prst="rect">
          <a:avLst/>
        </a:prstGeom>
      </xdr:spPr>
    </xdr:pic>
    <xdr:clientData/>
  </xdr:twoCellAnchor>
  <xdr:twoCellAnchor editAs="oneCell">
    <xdr:from>
      <xdr:col>9</xdr:col>
      <xdr:colOff>198120</xdr:colOff>
      <xdr:row>2</xdr:row>
      <xdr:rowOff>144780</xdr:rowOff>
    </xdr:from>
    <xdr:to>
      <xdr:col>9</xdr:col>
      <xdr:colOff>601370</xdr:colOff>
      <xdr:row>5</xdr:row>
      <xdr:rowOff>4470</xdr:rowOff>
    </xdr:to>
    <xdr:pic>
      <xdr:nvPicPr>
        <xdr:cNvPr id="34" name="Picture 33">
          <a:extLst>
            <a:ext uri="{FF2B5EF4-FFF2-40B4-BE49-F238E27FC236}">
              <a16:creationId xmlns:a16="http://schemas.microsoft.com/office/drawing/2014/main" id="{DCDFE364-FB40-4626-B9ED-81D59E728738}"/>
            </a:ext>
          </a:extLst>
        </xdr:cNvPr>
        <xdr:cNvPicPr>
          <a:picLocks noChangeAspect="1"/>
        </xdr:cNvPicPr>
      </xdr:nvPicPr>
      <xdr:blipFill>
        <a:blip xmlns:r="http://schemas.openxmlformats.org/officeDocument/2006/relationships" r:embed="rId8"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5067300" y="510540"/>
          <a:ext cx="403250" cy="408330"/>
        </a:xfrm>
        <a:prstGeom prst="rect">
          <a:avLst/>
        </a:prstGeom>
      </xdr:spPr>
    </xdr:pic>
    <xdr:clientData/>
  </xdr:twoCellAnchor>
  <xdr:oneCellAnchor>
    <xdr:from>
      <xdr:col>9</xdr:col>
      <xdr:colOff>144780</xdr:colOff>
      <xdr:row>11</xdr:row>
      <xdr:rowOff>121920</xdr:rowOff>
    </xdr:from>
    <xdr:ext cx="2081212" cy="335348"/>
    <xdr:sp macro="" textlink="$W$31">
      <xdr:nvSpPr>
        <xdr:cNvPr id="36" name="TextBox 35">
          <a:extLst>
            <a:ext uri="{FF2B5EF4-FFF2-40B4-BE49-F238E27FC236}">
              <a16:creationId xmlns:a16="http://schemas.microsoft.com/office/drawing/2014/main" id="{EE30B8A8-D467-49E8-ABD8-3434A5C3B2C0}"/>
            </a:ext>
          </a:extLst>
        </xdr:cNvPr>
        <xdr:cNvSpPr txBox="1"/>
      </xdr:nvSpPr>
      <xdr:spPr>
        <a:xfrm>
          <a:off x="5013960" y="2133600"/>
          <a:ext cx="2081212" cy="33534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fld id="{0416BF42-40A9-4FDE-9606-72B8DE954DAA}" type="TxLink">
            <a:rPr lang="en-US" sz="1600" b="0" i="0" u="none" strike="noStrike">
              <a:solidFill>
                <a:srgbClr val="006666"/>
              </a:solidFill>
              <a:latin typeface="Agency FB" panose="020B0503020202020204" pitchFamily="34" charset="0"/>
              <a:ea typeface="+mn-ea"/>
              <a:cs typeface="Calibri"/>
            </a:rPr>
            <a:pPr marL="0" indent="0" algn="ctr"/>
            <a:t> $14,824,780.00 </a:t>
          </a:fld>
          <a:endParaRPr lang="en-US" sz="1600" b="0" i="0" u="none" strike="noStrike">
            <a:solidFill>
              <a:srgbClr val="006666"/>
            </a:solidFill>
            <a:latin typeface="Agency FB" panose="020B0503020202020204" pitchFamily="34" charset="0"/>
            <a:ea typeface="+mn-ea"/>
            <a:cs typeface="Calibri"/>
          </a:endParaRPr>
        </a:p>
      </xdr:txBody>
    </xdr:sp>
    <xdr:clientData/>
  </xdr:oneCellAnchor>
  <xdr:twoCellAnchor editAs="oneCell">
    <xdr:from>
      <xdr:col>9</xdr:col>
      <xdr:colOff>167640</xdr:colOff>
      <xdr:row>11</xdr:row>
      <xdr:rowOff>14630</xdr:rowOff>
    </xdr:from>
    <xdr:to>
      <xdr:col>9</xdr:col>
      <xdr:colOff>571500</xdr:colOff>
      <xdr:row>13</xdr:row>
      <xdr:rowOff>52730</xdr:rowOff>
    </xdr:to>
    <xdr:pic>
      <xdr:nvPicPr>
        <xdr:cNvPr id="38" name="Picture 37">
          <a:extLst>
            <a:ext uri="{FF2B5EF4-FFF2-40B4-BE49-F238E27FC236}">
              <a16:creationId xmlns:a16="http://schemas.microsoft.com/office/drawing/2014/main" id="{EC55CF25-ED52-4A19-9B27-0E5F45571537}"/>
            </a:ext>
          </a:extLst>
        </xdr:cNvPr>
        <xdr:cNvPicPr>
          <a:picLocks noChangeAspect="1"/>
        </xdr:cNvPicPr>
      </xdr:nvPicPr>
      <xdr:blipFill>
        <a:blip xmlns:r="http://schemas.openxmlformats.org/officeDocument/2006/relationships" r:embed="rId9"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5036820" y="2026310"/>
          <a:ext cx="403860" cy="403860"/>
        </a:xfrm>
        <a:prstGeom prst="rect">
          <a:avLst/>
        </a:prstGeom>
      </xdr:spPr>
    </xdr:pic>
    <xdr:clientData/>
  </xdr:twoCellAnchor>
  <xdr:twoCellAnchor>
    <xdr:from>
      <xdr:col>11</xdr:col>
      <xdr:colOff>598170</xdr:colOff>
      <xdr:row>1</xdr:row>
      <xdr:rowOff>22860</xdr:rowOff>
    </xdr:from>
    <xdr:to>
      <xdr:col>15</xdr:col>
      <xdr:colOff>320040</xdr:colOff>
      <xdr:row>7</xdr:row>
      <xdr:rowOff>22860</xdr:rowOff>
    </xdr:to>
    <xdr:graphicFrame macro="">
      <xdr:nvGraphicFramePr>
        <xdr:cNvPr id="39" name="Chart 38">
          <a:extLst>
            <a:ext uri="{FF2B5EF4-FFF2-40B4-BE49-F238E27FC236}">
              <a16:creationId xmlns:a16="http://schemas.microsoft.com/office/drawing/2014/main" id="{E4598691-6F50-477F-AEED-4B0743588C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590550</xdr:colOff>
      <xdr:row>7</xdr:row>
      <xdr:rowOff>83820</xdr:rowOff>
    </xdr:from>
    <xdr:to>
      <xdr:col>15</xdr:col>
      <xdr:colOff>320040</xdr:colOff>
      <xdr:row>13</xdr:row>
      <xdr:rowOff>76200</xdr:rowOff>
    </xdr:to>
    <xdr:graphicFrame macro="">
      <xdr:nvGraphicFramePr>
        <xdr:cNvPr id="40" name="Chart 39">
          <a:extLst>
            <a:ext uri="{FF2B5EF4-FFF2-40B4-BE49-F238E27FC236}">
              <a16:creationId xmlns:a16="http://schemas.microsoft.com/office/drawing/2014/main" id="{36734DE8-3ADB-4640-AAD0-AFDD0576F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373380</xdr:colOff>
      <xdr:row>1</xdr:row>
      <xdr:rowOff>30480</xdr:rowOff>
    </xdr:from>
    <xdr:to>
      <xdr:col>16</xdr:col>
      <xdr:colOff>556260</xdr:colOff>
      <xdr:row>7</xdr:row>
      <xdr:rowOff>30480</xdr:rowOff>
    </xdr:to>
    <xdr:sp macro="" textlink="">
      <xdr:nvSpPr>
        <xdr:cNvPr id="31" name="Rectangle 30">
          <a:extLst>
            <a:ext uri="{FF2B5EF4-FFF2-40B4-BE49-F238E27FC236}">
              <a16:creationId xmlns:a16="http://schemas.microsoft.com/office/drawing/2014/main" id="{7943E97C-93CE-4670-BC4F-EB66EFE9C09D}"/>
            </a:ext>
          </a:extLst>
        </xdr:cNvPr>
        <xdr:cNvSpPr/>
      </xdr:nvSpPr>
      <xdr:spPr>
        <a:xfrm>
          <a:off x="8900160" y="213360"/>
          <a:ext cx="792480" cy="1097280"/>
        </a:xfrm>
        <a:prstGeom prst="rect">
          <a:avLst/>
        </a:prstGeom>
        <a:noFill/>
        <a:ln w="3175">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373380</xdr:colOff>
      <xdr:row>7</xdr:row>
      <xdr:rowOff>83820</xdr:rowOff>
    </xdr:from>
    <xdr:to>
      <xdr:col>16</xdr:col>
      <xdr:colOff>556260</xdr:colOff>
      <xdr:row>13</xdr:row>
      <xdr:rowOff>68580</xdr:rowOff>
    </xdr:to>
    <xdr:sp macro="" textlink="">
      <xdr:nvSpPr>
        <xdr:cNvPr id="33" name="Rectangle 32">
          <a:extLst>
            <a:ext uri="{FF2B5EF4-FFF2-40B4-BE49-F238E27FC236}">
              <a16:creationId xmlns:a16="http://schemas.microsoft.com/office/drawing/2014/main" id="{C3E14E0E-0EA0-4D61-A860-20748D638EAD}"/>
            </a:ext>
          </a:extLst>
        </xdr:cNvPr>
        <xdr:cNvSpPr/>
      </xdr:nvSpPr>
      <xdr:spPr>
        <a:xfrm>
          <a:off x="8900160" y="1363980"/>
          <a:ext cx="792480" cy="1082040"/>
        </a:xfrm>
        <a:prstGeom prst="rect">
          <a:avLst/>
        </a:prstGeom>
        <a:noFill/>
        <a:ln w="3175">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15</xdr:col>
      <xdr:colOff>381000</xdr:colOff>
      <xdr:row>1</xdr:row>
      <xdr:rowOff>38100</xdr:rowOff>
    </xdr:from>
    <xdr:ext cx="771045" cy="293927"/>
    <xdr:sp macro="" textlink="">
      <xdr:nvSpPr>
        <xdr:cNvPr id="37" name="TextBox 36">
          <a:extLst>
            <a:ext uri="{FF2B5EF4-FFF2-40B4-BE49-F238E27FC236}">
              <a16:creationId xmlns:a16="http://schemas.microsoft.com/office/drawing/2014/main" id="{6272D6A1-7EC5-4F8D-BACE-621376A2ADDE}"/>
            </a:ext>
          </a:extLst>
        </xdr:cNvPr>
        <xdr:cNvSpPr txBox="1"/>
      </xdr:nvSpPr>
      <xdr:spPr>
        <a:xfrm>
          <a:off x="8907780" y="746760"/>
          <a:ext cx="771045" cy="2939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tx1">
                  <a:lumMod val="50000"/>
                  <a:lumOff val="50000"/>
                </a:schemeClr>
              </a:solidFill>
              <a:latin typeface="Agency FB" panose="020B0503020202020204" pitchFamily="34" charset="0"/>
            </a:rPr>
            <a:t>Outsource</a:t>
          </a:r>
        </a:p>
      </xdr:txBody>
    </xdr:sp>
    <xdr:clientData/>
  </xdr:oneCellAnchor>
  <xdr:oneCellAnchor>
    <xdr:from>
      <xdr:col>15</xdr:col>
      <xdr:colOff>381000</xdr:colOff>
      <xdr:row>7</xdr:row>
      <xdr:rowOff>68580</xdr:rowOff>
    </xdr:from>
    <xdr:ext cx="854849" cy="293927"/>
    <xdr:sp macro="" textlink="">
      <xdr:nvSpPr>
        <xdr:cNvPr id="41" name="TextBox 40">
          <a:extLst>
            <a:ext uri="{FF2B5EF4-FFF2-40B4-BE49-F238E27FC236}">
              <a16:creationId xmlns:a16="http://schemas.microsoft.com/office/drawing/2014/main" id="{9AD43952-E4D8-4580-972A-5E6097130938}"/>
            </a:ext>
          </a:extLst>
        </xdr:cNvPr>
        <xdr:cNvSpPr txBox="1"/>
      </xdr:nvSpPr>
      <xdr:spPr>
        <a:xfrm>
          <a:off x="8907780" y="1348740"/>
          <a:ext cx="854849" cy="2939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tx1">
                  <a:lumMod val="50000"/>
                  <a:lumOff val="50000"/>
                </a:schemeClr>
              </a:solidFill>
              <a:latin typeface="Agency FB" panose="020B0503020202020204" pitchFamily="34" charset="0"/>
            </a:rPr>
            <a:t>Part Timers</a:t>
          </a:r>
        </a:p>
      </xdr:txBody>
    </xdr:sp>
    <xdr:clientData/>
  </xdr:oneCellAnchor>
  <xdr:oneCellAnchor>
    <xdr:from>
      <xdr:col>15</xdr:col>
      <xdr:colOff>373380</xdr:colOff>
      <xdr:row>2</xdr:row>
      <xdr:rowOff>129540</xdr:rowOff>
    </xdr:from>
    <xdr:ext cx="777240" cy="800100"/>
    <xdr:sp macro="" textlink="$W$41">
      <xdr:nvSpPr>
        <xdr:cNvPr id="42" name="TextBox 41">
          <a:extLst>
            <a:ext uri="{FF2B5EF4-FFF2-40B4-BE49-F238E27FC236}">
              <a16:creationId xmlns:a16="http://schemas.microsoft.com/office/drawing/2014/main" id="{FC36BB5D-29EC-4D1A-BBBF-FB4847796177}"/>
            </a:ext>
          </a:extLst>
        </xdr:cNvPr>
        <xdr:cNvSpPr txBox="1"/>
      </xdr:nvSpPr>
      <xdr:spPr>
        <a:xfrm>
          <a:off x="8900160" y="495300"/>
          <a:ext cx="777240" cy="8001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C8DB188E-7743-4C74-8DE1-0EBB2EC7021E}" type="TxLink">
            <a:rPr lang="en-US" sz="2800" b="0" i="0" u="none" strike="noStrike">
              <a:solidFill>
                <a:srgbClr val="006666"/>
              </a:solidFill>
              <a:latin typeface="Agency FB" panose="020B0503020202020204" pitchFamily="34" charset="0"/>
              <a:ea typeface="+mn-ea"/>
              <a:cs typeface="Calibri"/>
            </a:rPr>
            <a:pPr marL="0" indent="0" algn="ctr"/>
            <a:t>260</a:t>
          </a:fld>
          <a:endParaRPr lang="en-US" sz="2800" b="0" i="0" u="none" strike="noStrike">
            <a:solidFill>
              <a:srgbClr val="006666"/>
            </a:solidFill>
            <a:latin typeface="Agency FB" panose="020B0503020202020204" pitchFamily="34" charset="0"/>
            <a:ea typeface="+mn-ea"/>
            <a:cs typeface="Calibri"/>
          </a:endParaRPr>
        </a:p>
      </xdr:txBody>
    </xdr:sp>
    <xdr:clientData/>
  </xdr:oneCellAnchor>
  <xdr:oneCellAnchor>
    <xdr:from>
      <xdr:col>15</xdr:col>
      <xdr:colOff>373380</xdr:colOff>
      <xdr:row>8</xdr:row>
      <xdr:rowOff>152400</xdr:rowOff>
    </xdr:from>
    <xdr:ext cx="777240" cy="800100"/>
    <xdr:sp macro="" textlink="$X$41">
      <xdr:nvSpPr>
        <xdr:cNvPr id="43" name="TextBox 42">
          <a:extLst>
            <a:ext uri="{FF2B5EF4-FFF2-40B4-BE49-F238E27FC236}">
              <a16:creationId xmlns:a16="http://schemas.microsoft.com/office/drawing/2014/main" id="{E5A41748-94A6-42EE-B398-8FC828AEA748}"/>
            </a:ext>
          </a:extLst>
        </xdr:cNvPr>
        <xdr:cNvSpPr txBox="1"/>
      </xdr:nvSpPr>
      <xdr:spPr>
        <a:xfrm>
          <a:off x="8900160" y="1615440"/>
          <a:ext cx="777240" cy="8001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53AEC28F-FFB5-4E85-B1BF-75DABDD7BDF1}" type="TxLink">
            <a:rPr lang="en-US" sz="2800" b="0" i="0" u="none" strike="noStrike">
              <a:solidFill>
                <a:srgbClr val="006666"/>
              </a:solidFill>
              <a:latin typeface="Agency FB" panose="020B0503020202020204" pitchFamily="34" charset="0"/>
              <a:ea typeface="+mn-ea"/>
              <a:cs typeface="Calibri"/>
            </a:rPr>
            <a:pPr marL="0" indent="0" algn="ctr"/>
            <a:t>72</a:t>
          </a:fld>
          <a:endParaRPr lang="en-US" sz="2800" b="0" i="0" u="none" strike="noStrike">
            <a:solidFill>
              <a:srgbClr val="006666"/>
            </a:solidFill>
            <a:latin typeface="Agency FB" panose="020B0503020202020204" pitchFamily="34" charset="0"/>
            <a:ea typeface="+mn-ea"/>
            <a:cs typeface="Calibri"/>
          </a:endParaRPr>
        </a:p>
      </xdr:txBody>
    </xdr:sp>
    <xdr:clientData/>
  </xdr:oneCellAnchor>
  <xdr:twoCellAnchor>
    <xdr:from>
      <xdr:col>3</xdr:col>
      <xdr:colOff>30480</xdr:colOff>
      <xdr:row>13</xdr:row>
      <xdr:rowOff>129540</xdr:rowOff>
    </xdr:from>
    <xdr:to>
      <xdr:col>5</xdr:col>
      <xdr:colOff>198120</xdr:colOff>
      <xdr:row>17</xdr:row>
      <xdr:rowOff>114300</xdr:rowOff>
    </xdr:to>
    <xdr:sp macro="" textlink="">
      <xdr:nvSpPr>
        <xdr:cNvPr id="44" name="Rectangle 43">
          <a:extLst>
            <a:ext uri="{FF2B5EF4-FFF2-40B4-BE49-F238E27FC236}">
              <a16:creationId xmlns:a16="http://schemas.microsoft.com/office/drawing/2014/main" id="{B9104941-70BC-4AAE-8E40-9FD02DC10B1C}"/>
            </a:ext>
          </a:extLst>
        </xdr:cNvPr>
        <xdr:cNvSpPr/>
      </xdr:nvSpPr>
      <xdr:spPr>
        <a:xfrm>
          <a:off x="1242060" y="2506980"/>
          <a:ext cx="1386840" cy="716280"/>
        </a:xfrm>
        <a:prstGeom prst="rect">
          <a:avLst/>
        </a:prstGeom>
        <a:noFill/>
        <a:ln w="3175">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225552</xdr:colOff>
      <xdr:row>13</xdr:row>
      <xdr:rowOff>129540</xdr:rowOff>
    </xdr:from>
    <xdr:to>
      <xdr:col>7</xdr:col>
      <xdr:colOff>393192</xdr:colOff>
      <xdr:row>17</xdr:row>
      <xdr:rowOff>114300</xdr:rowOff>
    </xdr:to>
    <xdr:sp macro="" textlink="">
      <xdr:nvSpPr>
        <xdr:cNvPr id="46" name="Rectangle 45">
          <a:extLst>
            <a:ext uri="{FF2B5EF4-FFF2-40B4-BE49-F238E27FC236}">
              <a16:creationId xmlns:a16="http://schemas.microsoft.com/office/drawing/2014/main" id="{1506E811-D4E6-4DB7-9A26-912A19046D9E}"/>
            </a:ext>
          </a:extLst>
        </xdr:cNvPr>
        <xdr:cNvSpPr/>
      </xdr:nvSpPr>
      <xdr:spPr>
        <a:xfrm>
          <a:off x="2656332" y="2506980"/>
          <a:ext cx="1386840" cy="716280"/>
        </a:xfrm>
        <a:prstGeom prst="rect">
          <a:avLst/>
        </a:prstGeom>
        <a:noFill/>
        <a:ln w="3175">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420624</xdr:colOff>
      <xdr:row>13</xdr:row>
      <xdr:rowOff>129540</xdr:rowOff>
    </xdr:from>
    <xdr:to>
      <xdr:col>9</xdr:col>
      <xdr:colOff>588264</xdr:colOff>
      <xdr:row>17</xdr:row>
      <xdr:rowOff>114300</xdr:rowOff>
    </xdr:to>
    <xdr:sp macro="" textlink="">
      <xdr:nvSpPr>
        <xdr:cNvPr id="47" name="Rectangle 46">
          <a:extLst>
            <a:ext uri="{FF2B5EF4-FFF2-40B4-BE49-F238E27FC236}">
              <a16:creationId xmlns:a16="http://schemas.microsoft.com/office/drawing/2014/main" id="{6B8A580C-BAFE-475F-B807-4652601E6D6B}"/>
            </a:ext>
          </a:extLst>
        </xdr:cNvPr>
        <xdr:cNvSpPr/>
      </xdr:nvSpPr>
      <xdr:spPr>
        <a:xfrm>
          <a:off x="4070604" y="2506980"/>
          <a:ext cx="1386840" cy="716280"/>
        </a:xfrm>
        <a:prstGeom prst="rect">
          <a:avLst/>
        </a:prstGeom>
        <a:noFill/>
        <a:ln w="3175">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6096</xdr:colOff>
      <xdr:row>13</xdr:row>
      <xdr:rowOff>129540</xdr:rowOff>
    </xdr:from>
    <xdr:to>
      <xdr:col>12</xdr:col>
      <xdr:colOff>173736</xdr:colOff>
      <xdr:row>17</xdr:row>
      <xdr:rowOff>114300</xdr:rowOff>
    </xdr:to>
    <xdr:sp macro="" textlink="">
      <xdr:nvSpPr>
        <xdr:cNvPr id="48" name="Rectangle 47">
          <a:extLst>
            <a:ext uri="{FF2B5EF4-FFF2-40B4-BE49-F238E27FC236}">
              <a16:creationId xmlns:a16="http://schemas.microsoft.com/office/drawing/2014/main" id="{BBC0E948-53CD-4BF3-A294-1FD8DB3615F6}"/>
            </a:ext>
          </a:extLst>
        </xdr:cNvPr>
        <xdr:cNvSpPr/>
      </xdr:nvSpPr>
      <xdr:spPr>
        <a:xfrm>
          <a:off x="5484876" y="2506980"/>
          <a:ext cx="1386840" cy="716280"/>
        </a:xfrm>
        <a:prstGeom prst="rect">
          <a:avLst/>
        </a:prstGeom>
        <a:noFill/>
        <a:ln w="3175">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201168</xdr:colOff>
      <xdr:row>13</xdr:row>
      <xdr:rowOff>129540</xdr:rowOff>
    </xdr:from>
    <xdr:to>
      <xdr:col>14</xdr:col>
      <xdr:colOff>368808</xdr:colOff>
      <xdr:row>17</xdr:row>
      <xdr:rowOff>114300</xdr:rowOff>
    </xdr:to>
    <xdr:sp macro="" textlink="">
      <xdr:nvSpPr>
        <xdr:cNvPr id="49" name="Rectangle 48">
          <a:extLst>
            <a:ext uri="{FF2B5EF4-FFF2-40B4-BE49-F238E27FC236}">
              <a16:creationId xmlns:a16="http://schemas.microsoft.com/office/drawing/2014/main" id="{3A1B932C-0CF7-40A1-88C4-944A73BDBE09}"/>
            </a:ext>
          </a:extLst>
        </xdr:cNvPr>
        <xdr:cNvSpPr/>
      </xdr:nvSpPr>
      <xdr:spPr>
        <a:xfrm>
          <a:off x="6899148" y="2506980"/>
          <a:ext cx="1386840" cy="716280"/>
        </a:xfrm>
        <a:prstGeom prst="rect">
          <a:avLst/>
        </a:prstGeom>
        <a:noFill/>
        <a:ln w="3175">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396240</xdr:colOff>
      <xdr:row>13</xdr:row>
      <xdr:rowOff>129540</xdr:rowOff>
    </xdr:from>
    <xdr:to>
      <xdr:col>16</xdr:col>
      <xdr:colOff>563880</xdr:colOff>
      <xdr:row>17</xdr:row>
      <xdr:rowOff>114300</xdr:rowOff>
    </xdr:to>
    <xdr:sp macro="" textlink="">
      <xdr:nvSpPr>
        <xdr:cNvPr id="50" name="Rectangle 49">
          <a:extLst>
            <a:ext uri="{FF2B5EF4-FFF2-40B4-BE49-F238E27FC236}">
              <a16:creationId xmlns:a16="http://schemas.microsoft.com/office/drawing/2014/main" id="{05D06C9C-2C9A-4827-8F71-EE020E2B789C}"/>
            </a:ext>
          </a:extLst>
        </xdr:cNvPr>
        <xdr:cNvSpPr/>
      </xdr:nvSpPr>
      <xdr:spPr>
        <a:xfrm>
          <a:off x="8313420" y="2506980"/>
          <a:ext cx="1386840" cy="716280"/>
        </a:xfrm>
        <a:prstGeom prst="rect">
          <a:avLst/>
        </a:prstGeom>
        <a:noFill/>
        <a:ln w="3175">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38100</xdr:colOff>
      <xdr:row>15</xdr:row>
      <xdr:rowOff>60960</xdr:rowOff>
    </xdr:from>
    <xdr:ext cx="1379220" cy="406537"/>
    <xdr:sp macro="" textlink="$X$19">
      <xdr:nvSpPr>
        <xdr:cNvPr id="51" name="TextBox 50">
          <a:extLst>
            <a:ext uri="{FF2B5EF4-FFF2-40B4-BE49-F238E27FC236}">
              <a16:creationId xmlns:a16="http://schemas.microsoft.com/office/drawing/2014/main" id="{27D4BCDC-E00E-4E4E-8CAC-3F1F1E89162A}"/>
            </a:ext>
          </a:extLst>
        </xdr:cNvPr>
        <xdr:cNvSpPr txBox="1"/>
      </xdr:nvSpPr>
      <xdr:spPr>
        <a:xfrm>
          <a:off x="1249680" y="2804160"/>
          <a:ext cx="1379220" cy="40653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7C9D7D9D-18C7-450E-BF88-D1EF1B34BDF0}" type="TxLink">
            <a:rPr lang="en-US" sz="1600" b="0" i="0" u="none" strike="noStrike">
              <a:solidFill>
                <a:srgbClr val="006666"/>
              </a:solidFill>
              <a:latin typeface="Agency FB" panose="020B0503020202020204" pitchFamily="34" charset="0"/>
              <a:ea typeface="+mn-ea"/>
              <a:cs typeface="Calibri"/>
            </a:rPr>
            <a:pPr marL="0" indent="0" algn="ctr"/>
            <a:t>73</a:t>
          </a:fld>
          <a:endParaRPr lang="en-US" sz="1600" b="0" i="0" u="none" strike="noStrike">
            <a:solidFill>
              <a:srgbClr val="006666"/>
            </a:solidFill>
            <a:latin typeface="Agency FB" panose="020B0503020202020204" pitchFamily="34" charset="0"/>
            <a:ea typeface="+mn-ea"/>
            <a:cs typeface="Calibri"/>
          </a:endParaRPr>
        </a:p>
      </xdr:txBody>
    </xdr:sp>
    <xdr:clientData/>
  </xdr:oneCellAnchor>
  <xdr:oneCellAnchor>
    <xdr:from>
      <xdr:col>5</xdr:col>
      <xdr:colOff>236220</xdr:colOff>
      <xdr:row>15</xdr:row>
      <xdr:rowOff>60960</xdr:rowOff>
    </xdr:from>
    <xdr:ext cx="1379220" cy="406537"/>
    <xdr:sp macro="" textlink="$X$23">
      <xdr:nvSpPr>
        <xdr:cNvPr id="52" name="TextBox 51">
          <a:extLst>
            <a:ext uri="{FF2B5EF4-FFF2-40B4-BE49-F238E27FC236}">
              <a16:creationId xmlns:a16="http://schemas.microsoft.com/office/drawing/2014/main" id="{49D017CE-0330-4546-9115-02FFC5D4692E}"/>
            </a:ext>
          </a:extLst>
        </xdr:cNvPr>
        <xdr:cNvSpPr txBox="1"/>
      </xdr:nvSpPr>
      <xdr:spPr>
        <a:xfrm>
          <a:off x="2667000" y="2804160"/>
          <a:ext cx="1379220" cy="40653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D15A914D-54D4-4384-960C-16AA55D9637B}" type="TxLink">
            <a:rPr lang="en-US" sz="1600" b="0" i="0" u="none" strike="noStrike">
              <a:solidFill>
                <a:srgbClr val="006666"/>
              </a:solidFill>
              <a:latin typeface="Agency FB" panose="020B0503020202020204" pitchFamily="34" charset="0"/>
              <a:ea typeface="+mn-ea"/>
              <a:cs typeface="Calibri"/>
            </a:rPr>
            <a:pPr marL="0" indent="0" algn="ctr"/>
            <a:t>217</a:t>
          </a:fld>
          <a:endParaRPr lang="en-US" sz="1600" b="0" i="0" u="none" strike="noStrike">
            <a:solidFill>
              <a:srgbClr val="006666"/>
            </a:solidFill>
            <a:latin typeface="Agency FB" panose="020B0503020202020204" pitchFamily="34" charset="0"/>
            <a:ea typeface="+mn-ea"/>
            <a:cs typeface="Calibri"/>
          </a:endParaRPr>
        </a:p>
      </xdr:txBody>
    </xdr:sp>
    <xdr:clientData/>
  </xdr:oneCellAnchor>
  <xdr:oneCellAnchor>
    <xdr:from>
      <xdr:col>7</xdr:col>
      <xdr:colOff>441960</xdr:colOff>
      <xdr:row>15</xdr:row>
      <xdr:rowOff>60960</xdr:rowOff>
    </xdr:from>
    <xdr:ext cx="1379220" cy="406537"/>
    <xdr:sp macro="" textlink="$X$31">
      <xdr:nvSpPr>
        <xdr:cNvPr id="53" name="TextBox 52">
          <a:extLst>
            <a:ext uri="{FF2B5EF4-FFF2-40B4-BE49-F238E27FC236}">
              <a16:creationId xmlns:a16="http://schemas.microsoft.com/office/drawing/2014/main" id="{C646F1B7-EED8-4CD9-8FF0-47ADA0670CE0}"/>
            </a:ext>
          </a:extLst>
        </xdr:cNvPr>
        <xdr:cNvSpPr txBox="1"/>
      </xdr:nvSpPr>
      <xdr:spPr>
        <a:xfrm>
          <a:off x="4091940" y="2804160"/>
          <a:ext cx="1379220" cy="40653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2DC2810D-552B-4E9A-9627-68794C2BFC19}" type="TxLink">
            <a:rPr lang="en-US" sz="1600" b="0" i="0" u="none" strike="noStrike">
              <a:solidFill>
                <a:srgbClr val="006666"/>
              </a:solidFill>
              <a:latin typeface="Agency FB" panose="020B0503020202020204" pitchFamily="34" charset="0"/>
              <a:ea typeface="+mn-ea"/>
              <a:cs typeface="Calibri"/>
            </a:rPr>
            <a:pPr marL="0" indent="0" algn="ctr"/>
            <a:t>15</a:t>
          </a:fld>
          <a:endParaRPr lang="en-US" sz="1600" b="0" i="0" u="none" strike="noStrike">
            <a:solidFill>
              <a:srgbClr val="006666"/>
            </a:solidFill>
            <a:latin typeface="Agency FB" panose="020B0503020202020204" pitchFamily="34" charset="0"/>
            <a:ea typeface="+mn-ea"/>
            <a:cs typeface="Calibri"/>
          </a:endParaRPr>
        </a:p>
      </xdr:txBody>
    </xdr:sp>
    <xdr:clientData/>
  </xdr:oneCellAnchor>
  <xdr:oneCellAnchor>
    <xdr:from>
      <xdr:col>10</xdr:col>
      <xdr:colOff>15240</xdr:colOff>
      <xdr:row>15</xdr:row>
      <xdr:rowOff>60960</xdr:rowOff>
    </xdr:from>
    <xdr:ext cx="1379220" cy="406537"/>
    <xdr:sp macro="" textlink="$Y$31">
      <xdr:nvSpPr>
        <xdr:cNvPr id="54" name="TextBox 53">
          <a:extLst>
            <a:ext uri="{FF2B5EF4-FFF2-40B4-BE49-F238E27FC236}">
              <a16:creationId xmlns:a16="http://schemas.microsoft.com/office/drawing/2014/main" id="{6E551C7B-3053-4E74-99D8-DE4209B8A362}"/>
            </a:ext>
          </a:extLst>
        </xdr:cNvPr>
        <xdr:cNvSpPr txBox="1"/>
      </xdr:nvSpPr>
      <xdr:spPr>
        <a:xfrm>
          <a:off x="5494020" y="2804160"/>
          <a:ext cx="1379220" cy="40653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20A0A18C-81E8-409B-AD9E-787984F70E01}" type="TxLink">
            <a:rPr lang="en-US" sz="1600" b="0" i="0" u="none" strike="noStrike">
              <a:solidFill>
                <a:srgbClr val="006666"/>
              </a:solidFill>
              <a:latin typeface="Agency FB" panose="020B0503020202020204" pitchFamily="34" charset="0"/>
              <a:ea typeface="+mn-ea"/>
              <a:cs typeface="Calibri"/>
            </a:rPr>
            <a:pPr marL="0" indent="0" algn="ctr"/>
            <a:t>102</a:t>
          </a:fld>
          <a:endParaRPr lang="en-US" sz="1600" b="0" i="0" u="none" strike="noStrike">
            <a:solidFill>
              <a:srgbClr val="006666"/>
            </a:solidFill>
            <a:latin typeface="Agency FB" panose="020B0503020202020204" pitchFamily="34" charset="0"/>
            <a:ea typeface="+mn-ea"/>
            <a:cs typeface="Calibri"/>
          </a:endParaRPr>
        </a:p>
      </xdr:txBody>
    </xdr:sp>
    <xdr:clientData/>
  </xdr:oneCellAnchor>
  <xdr:oneCellAnchor>
    <xdr:from>
      <xdr:col>12</xdr:col>
      <xdr:colOff>205740</xdr:colOff>
      <xdr:row>15</xdr:row>
      <xdr:rowOff>60960</xdr:rowOff>
    </xdr:from>
    <xdr:ext cx="1379220" cy="406537"/>
    <xdr:sp macro="" textlink="$Z$31">
      <xdr:nvSpPr>
        <xdr:cNvPr id="55" name="TextBox 54">
          <a:extLst>
            <a:ext uri="{FF2B5EF4-FFF2-40B4-BE49-F238E27FC236}">
              <a16:creationId xmlns:a16="http://schemas.microsoft.com/office/drawing/2014/main" id="{03E6C3A6-6AA5-4B3D-93C2-72536617AF9E}"/>
            </a:ext>
          </a:extLst>
        </xdr:cNvPr>
        <xdr:cNvSpPr txBox="1"/>
      </xdr:nvSpPr>
      <xdr:spPr>
        <a:xfrm>
          <a:off x="6903720" y="2804160"/>
          <a:ext cx="1379220" cy="40653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3189C8AA-619B-4596-AEB2-B26A68BA4FAB}" type="TxLink">
            <a:rPr lang="en-US" sz="1600" b="0" i="0" u="none" strike="noStrike">
              <a:solidFill>
                <a:srgbClr val="006666"/>
              </a:solidFill>
              <a:latin typeface="Agency FB" panose="020B0503020202020204" pitchFamily="34" charset="0"/>
              <a:ea typeface="+mn-ea"/>
              <a:cs typeface="Calibri"/>
            </a:rPr>
            <a:pPr marL="0" indent="0" algn="ctr"/>
            <a:t>191</a:t>
          </a:fld>
          <a:endParaRPr lang="en-US" sz="1600" b="0" i="0" u="none" strike="noStrike">
            <a:solidFill>
              <a:srgbClr val="006666"/>
            </a:solidFill>
            <a:latin typeface="Agency FB" panose="020B0503020202020204" pitchFamily="34" charset="0"/>
            <a:ea typeface="+mn-ea"/>
            <a:cs typeface="Calibri"/>
          </a:endParaRPr>
        </a:p>
      </xdr:txBody>
    </xdr:sp>
    <xdr:clientData/>
  </xdr:oneCellAnchor>
  <xdr:oneCellAnchor>
    <xdr:from>
      <xdr:col>14</xdr:col>
      <xdr:colOff>419100</xdr:colOff>
      <xdr:row>15</xdr:row>
      <xdr:rowOff>60960</xdr:rowOff>
    </xdr:from>
    <xdr:ext cx="1379220" cy="406537"/>
    <xdr:sp macro="" textlink="$AA$31">
      <xdr:nvSpPr>
        <xdr:cNvPr id="56" name="TextBox 55">
          <a:extLst>
            <a:ext uri="{FF2B5EF4-FFF2-40B4-BE49-F238E27FC236}">
              <a16:creationId xmlns:a16="http://schemas.microsoft.com/office/drawing/2014/main" id="{F4B4991A-E21B-4BCA-931E-77B9636120ED}"/>
            </a:ext>
          </a:extLst>
        </xdr:cNvPr>
        <xdr:cNvSpPr txBox="1"/>
      </xdr:nvSpPr>
      <xdr:spPr>
        <a:xfrm>
          <a:off x="8336280" y="2804160"/>
          <a:ext cx="1379220" cy="40653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EEE4C788-307B-409D-9E62-A2EA0E3F0C16}" type="TxLink">
            <a:rPr lang="en-US" sz="1600" b="0" i="0" u="none" strike="noStrike">
              <a:solidFill>
                <a:srgbClr val="006666"/>
              </a:solidFill>
              <a:latin typeface="Agency FB" panose="020B0503020202020204" pitchFamily="34" charset="0"/>
              <a:ea typeface="+mn-ea"/>
              <a:cs typeface="Calibri"/>
            </a:rPr>
            <a:pPr marL="0" indent="0" algn="ctr"/>
            <a:t>291</a:t>
          </a:fld>
          <a:endParaRPr lang="en-US" sz="1600" b="0" i="0" u="none" strike="noStrike">
            <a:solidFill>
              <a:srgbClr val="006666"/>
            </a:solidFill>
            <a:latin typeface="Agency FB" panose="020B0503020202020204" pitchFamily="34" charset="0"/>
            <a:ea typeface="+mn-ea"/>
            <a:cs typeface="Calibri"/>
          </a:endParaRPr>
        </a:p>
      </xdr:txBody>
    </xdr:sp>
    <xdr:clientData/>
  </xdr:oneCellAnchor>
  <xdr:oneCellAnchor>
    <xdr:from>
      <xdr:col>5</xdr:col>
      <xdr:colOff>236220</xdr:colOff>
      <xdr:row>13</xdr:row>
      <xdr:rowOff>137160</xdr:rowOff>
    </xdr:from>
    <xdr:ext cx="1386840" cy="293927"/>
    <xdr:sp macro="" textlink="">
      <xdr:nvSpPr>
        <xdr:cNvPr id="57" name="TextBox 56">
          <a:extLst>
            <a:ext uri="{FF2B5EF4-FFF2-40B4-BE49-F238E27FC236}">
              <a16:creationId xmlns:a16="http://schemas.microsoft.com/office/drawing/2014/main" id="{F08BE8AD-4AEB-446C-B06A-2600FF733BC8}"/>
            </a:ext>
          </a:extLst>
        </xdr:cNvPr>
        <xdr:cNvSpPr txBox="1"/>
      </xdr:nvSpPr>
      <xdr:spPr>
        <a:xfrm>
          <a:off x="2667000" y="2514600"/>
          <a:ext cx="1386840" cy="293927"/>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r>
            <a:rPr lang="en-US" sz="1400">
              <a:solidFill>
                <a:schemeClr val="tx1">
                  <a:lumMod val="50000"/>
                  <a:lumOff val="50000"/>
                </a:schemeClr>
              </a:solidFill>
              <a:latin typeface="Agency FB" panose="020B0503020202020204" pitchFamily="34" charset="0"/>
              <a:ea typeface="+mn-ea"/>
              <a:cs typeface="+mn-cs"/>
            </a:rPr>
            <a:t>Corrective Actions</a:t>
          </a:r>
        </a:p>
      </xdr:txBody>
    </xdr:sp>
    <xdr:clientData/>
  </xdr:oneCellAnchor>
  <xdr:oneCellAnchor>
    <xdr:from>
      <xdr:col>7</xdr:col>
      <xdr:colOff>426720</xdr:colOff>
      <xdr:row>13</xdr:row>
      <xdr:rowOff>137160</xdr:rowOff>
    </xdr:from>
    <xdr:ext cx="1386840" cy="293927"/>
    <xdr:sp macro="" textlink="">
      <xdr:nvSpPr>
        <xdr:cNvPr id="58" name="TextBox 57">
          <a:extLst>
            <a:ext uri="{FF2B5EF4-FFF2-40B4-BE49-F238E27FC236}">
              <a16:creationId xmlns:a16="http://schemas.microsoft.com/office/drawing/2014/main" id="{1AA93E4B-4668-4424-9301-6F42BF8FE2BA}"/>
            </a:ext>
          </a:extLst>
        </xdr:cNvPr>
        <xdr:cNvSpPr txBox="1"/>
      </xdr:nvSpPr>
      <xdr:spPr>
        <a:xfrm>
          <a:off x="4076700" y="2514600"/>
          <a:ext cx="1386840" cy="293927"/>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solidFill>
                <a:schemeClr val="tx1">
                  <a:lumMod val="50000"/>
                  <a:lumOff val="50000"/>
                </a:schemeClr>
              </a:solidFill>
              <a:latin typeface="Agency FB" panose="020B0503020202020204" pitchFamily="34" charset="0"/>
            </a:rPr>
            <a:t>Contract Termination</a:t>
          </a:r>
        </a:p>
      </xdr:txBody>
    </xdr:sp>
    <xdr:clientData/>
  </xdr:oneCellAnchor>
  <xdr:oneCellAnchor>
    <xdr:from>
      <xdr:col>10</xdr:col>
      <xdr:colOff>7620</xdr:colOff>
      <xdr:row>13</xdr:row>
      <xdr:rowOff>137160</xdr:rowOff>
    </xdr:from>
    <xdr:ext cx="1386840" cy="293927"/>
    <xdr:sp macro="" textlink="">
      <xdr:nvSpPr>
        <xdr:cNvPr id="59" name="TextBox 58">
          <a:extLst>
            <a:ext uri="{FF2B5EF4-FFF2-40B4-BE49-F238E27FC236}">
              <a16:creationId xmlns:a16="http://schemas.microsoft.com/office/drawing/2014/main" id="{BE70F127-74E8-4143-B203-55B85AA7EC18}"/>
            </a:ext>
          </a:extLst>
        </xdr:cNvPr>
        <xdr:cNvSpPr txBox="1"/>
      </xdr:nvSpPr>
      <xdr:spPr>
        <a:xfrm>
          <a:off x="5486400" y="2514600"/>
          <a:ext cx="1386840" cy="293927"/>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solidFill>
                <a:schemeClr val="tx1">
                  <a:lumMod val="50000"/>
                  <a:lumOff val="50000"/>
                </a:schemeClr>
              </a:solidFill>
              <a:latin typeface="Agency FB" panose="020B0503020202020204" pitchFamily="34" charset="0"/>
            </a:rPr>
            <a:t>Probation Period Ter.</a:t>
          </a:r>
        </a:p>
      </xdr:txBody>
    </xdr:sp>
    <xdr:clientData/>
  </xdr:oneCellAnchor>
  <xdr:oneCellAnchor>
    <xdr:from>
      <xdr:col>12</xdr:col>
      <xdr:colOff>205740</xdr:colOff>
      <xdr:row>13</xdr:row>
      <xdr:rowOff>137160</xdr:rowOff>
    </xdr:from>
    <xdr:ext cx="1386840" cy="293927"/>
    <xdr:sp macro="" textlink="">
      <xdr:nvSpPr>
        <xdr:cNvPr id="60" name="TextBox 59">
          <a:extLst>
            <a:ext uri="{FF2B5EF4-FFF2-40B4-BE49-F238E27FC236}">
              <a16:creationId xmlns:a16="http://schemas.microsoft.com/office/drawing/2014/main" id="{0225A63A-BDC4-4139-B028-DCA0179DEFE4}"/>
            </a:ext>
          </a:extLst>
        </xdr:cNvPr>
        <xdr:cNvSpPr txBox="1"/>
      </xdr:nvSpPr>
      <xdr:spPr>
        <a:xfrm>
          <a:off x="6903720" y="2514600"/>
          <a:ext cx="1386840" cy="293927"/>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400">
              <a:solidFill>
                <a:schemeClr val="tx1">
                  <a:lumMod val="50000"/>
                  <a:lumOff val="50000"/>
                </a:schemeClr>
              </a:solidFill>
              <a:latin typeface="Agency FB" panose="020B0503020202020204" pitchFamily="34" charset="0"/>
            </a:rPr>
            <a:t>Training Hours</a:t>
          </a:r>
        </a:p>
      </xdr:txBody>
    </xdr:sp>
    <xdr:clientData/>
  </xdr:oneCellAnchor>
  <xdr:oneCellAnchor>
    <xdr:from>
      <xdr:col>14</xdr:col>
      <xdr:colOff>396240</xdr:colOff>
      <xdr:row>13</xdr:row>
      <xdr:rowOff>137160</xdr:rowOff>
    </xdr:from>
    <xdr:ext cx="1386840" cy="293927"/>
    <xdr:sp macro="" textlink="">
      <xdr:nvSpPr>
        <xdr:cNvPr id="61" name="TextBox 60">
          <a:extLst>
            <a:ext uri="{FF2B5EF4-FFF2-40B4-BE49-F238E27FC236}">
              <a16:creationId xmlns:a16="http://schemas.microsoft.com/office/drawing/2014/main" id="{A09E5649-5F59-4513-9052-666F95C05103}"/>
            </a:ext>
          </a:extLst>
        </xdr:cNvPr>
        <xdr:cNvSpPr txBox="1"/>
      </xdr:nvSpPr>
      <xdr:spPr>
        <a:xfrm>
          <a:off x="8313420" y="2514600"/>
          <a:ext cx="1386840" cy="293927"/>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solidFill>
                <a:schemeClr val="tx1">
                  <a:lumMod val="50000"/>
                  <a:lumOff val="50000"/>
                </a:schemeClr>
              </a:solidFill>
              <a:latin typeface="Agency FB" panose="020B0503020202020204" pitchFamily="34" charset="0"/>
            </a:rPr>
            <a:t>Trained Employees</a:t>
          </a:r>
        </a:p>
      </xdr:txBody>
    </xdr:sp>
    <xdr:clientData/>
  </xdr:oneCellAnchor>
  <xdr:twoCellAnchor editAs="oneCell">
    <xdr:from>
      <xdr:col>3</xdr:col>
      <xdr:colOff>45722</xdr:colOff>
      <xdr:row>17</xdr:row>
      <xdr:rowOff>152400</xdr:rowOff>
    </xdr:from>
    <xdr:to>
      <xdr:col>5</xdr:col>
      <xdr:colOff>190502</xdr:colOff>
      <xdr:row>25</xdr:row>
      <xdr:rowOff>53340</xdr:rowOff>
    </xdr:to>
    <xdr:pic>
      <xdr:nvPicPr>
        <xdr:cNvPr id="62" name="Picture 61">
          <a:extLst>
            <a:ext uri="{FF2B5EF4-FFF2-40B4-BE49-F238E27FC236}">
              <a16:creationId xmlns:a16="http://schemas.microsoft.com/office/drawing/2014/main" id="{726E1378-E7BC-46AD-B57A-B96BC913035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257302" y="3261360"/>
          <a:ext cx="1363980" cy="1363980"/>
        </a:xfrm>
        <a:prstGeom prst="rect">
          <a:avLst/>
        </a:prstGeom>
        <a:ln w="3175">
          <a:solidFill>
            <a:schemeClr val="tx1">
              <a:lumMod val="50000"/>
              <a:lumOff val="50000"/>
            </a:schemeClr>
          </a:solidFill>
        </a:ln>
      </xdr:spPr>
    </xdr:pic>
    <xdr:clientData/>
  </xdr:twoCellAnchor>
  <xdr:oneCellAnchor>
    <xdr:from>
      <xdr:col>4</xdr:col>
      <xdr:colOff>144780</xdr:colOff>
      <xdr:row>23</xdr:row>
      <xdr:rowOff>175260</xdr:rowOff>
    </xdr:from>
    <xdr:ext cx="518160" cy="246517"/>
    <xdr:sp macro="" textlink="$Z$19">
      <xdr:nvSpPr>
        <xdr:cNvPr id="65" name="TextBox 64">
          <a:extLst>
            <a:ext uri="{FF2B5EF4-FFF2-40B4-BE49-F238E27FC236}">
              <a16:creationId xmlns:a16="http://schemas.microsoft.com/office/drawing/2014/main" id="{94A8084E-0354-4215-B2CA-0EAC2F742A8E}"/>
            </a:ext>
          </a:extLst>
        </xdr:cNvPr>
        <xdr:cNvSpPr txBox="1"/>
      </xdr:nvSpPr>
      <xdr:spPr>
        <a:xfrm>
          <a:off x="1965960" y="4381500"/>
          <a:ext cx="518160" cy="24651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6ECEB580-8B8F-4F87-8820-D39AD2822009}" type="TxLink">
            <a:rPr lang="en-US" sz="1100" b="0" i="0" u="none" strike="noStrike">
              <a:solidFill>
                <a:srgbClr val="006666"/>
              </a:solidFill>
              <a:latin typeface="Agency FB" panose="020B0503020202020204" pitchFamily="34" charset="0"/>
              <a:ea typeface="+mn-ea"/>
              <a:cs typeface="Calibri"/>
            </a:rPr>
            <a:pPr marL="0" indent="0" algn="ctr"/>
            <a:t> 2,917 </a:t>
          </a:fld>
          <a:endParaRPr lang="en-US" sz="1100" b="0" i="0" u="none" strike="noStrike">
            <a:solidFill>
              <a:srgbClr val="006666"/>
            </a:solidFill>
            <a:latin typeface="Agency FB" panose="020B0503020202020204" pitchFamily="34" charset="0"/>
            <a:ea typeface="+mn-ea"/>
            <a:cs typeface="Calibri"/>
          </a:endParaRPr>
        </a:p>
      </xdr:txBody>
    </xdr:sp>
    <xdr:clientData/>
  </xdr:oneCellAnchor>
  <xdr:oneCellAnchor>
    <xdr:from>
      <xdr:col>3</xdr:col>
      <xdr:colOff>137160</xdr:colOff>
      <xdr:row>23</xdr:row>
      <xdr:rowOff>175260</xdr:rowOff>
    </xdr:from>
    <xdr:ext cx="518160" cy="246517"/>
    <xdr:sp macro="" textlink="$Y$19">
      <xdr:nvSpPr>
        <xdr:cNvPr id="66" name="TextBox 65">
          <a:extLst>
            <a:ext uri="{FF2B5EF4-FFF2-40B4-BE49-F238E27FC236}">
              <a16:creationId xmlns:a16="http://schemas.microsoft.com/office/drawing/2014/main" id="{46C20FC2-1F8E-42A6-BC63-8BD0FD8D3515}"/>
            </a:ext>
          </a:extLst>
        </xdr:cNvPr>
        <xdr:cNvSpPr txBox="1"/>
      </xdr:nvSpPr>
      <xdr:spPr>
        <a:xfrm>
          <a:off x="1348740" y="4381500"/>
          <a:ext cx="518160" cy="24651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854D4644-1973-47CE-9D4D-BA2223ABC62F}" type="TxLink">
            <a:rPr lang="en-US" sz="1100" b="0" i="0" u="none" strike="noStrike">
              <a:solidFill>
                <a:srgbClr val="006666"/>
              </a:solidFill>
              <a:latin typeface="Agency FB" panose="020B0503020202020204" pitchFamily="34" charset="0"/>
              <a:ea typeface="+mn-ea"/>
              <a:cs typeface="Calibri"/>
            </a:rPr>
            <a:pPr marL="0" indent="0" algn="ctr"/>
            <a:t>283</a:t>
          </a:fld>
          <a:endParaRPr lang="en-US" sz="1100" b="0" i="0" u="none" strike="noStrike">
            <a:solidFill>
              <a:srgbClr val="006666"/>
            </a:solidFill>
            <a:latin typeface="Agency FB" panose="020B0503020202020204" pitchFamily="34" charset="0"/>
            <a:ea typeface="+mn-ea"/>
            <a:cs typeface="Calibri"/>
          </a:endParaRPr>
        </a:p>
      </xdr:txBody>
    </xdr:sp>
    <xdr:clientData/>
  </xdr:oneCellAnchor>
  <xdr:twoCellAnchor editAs="oneCell">
    <xdr:from>
      <xdr:col>5</xdr:col>
      <xdr:colOff>243840</xdr:colOff>
      <xdr:row>17</xdr:row>
      <xdr:rowOff>152400</xdr:rowOff>
    </xdr:from>
    <xdr:to>
      <xdr:col>7</xdr:col>
      <xdr:colOff>388620</xdr:colOff>
      <xdr:row>25</xdr:row>
      <xdr:rowOff>53340</xdr:rowOff>
    </xdr:to>
    <xdr:pic>
      <xdr:nvPicPr>
        <xdr:cNvPr id="68" name="Picture 67">
          <a:extLst>
            <a:ext uri="{FF2B5EF4-FFF2-40B4-BE49-F238E27FC236}">
              <a16:creationId xmlns:a16="http://schemas.microsoft.com/office/drawing/2014/main" id="{CCDEA79A-E30D-48B4-A2C9-F5B1B4722D27}"/>
            </a:ext>
          </a:extLst>
        </xdr:cNvPr>
        <xdr:cNvPicPr>
          <a:picLocks noChangeAspect="1"/>
        </xdr:cNvPicPr>
      </xdr:nvPicPr>
      <xdr:blipFill>
        <a:blip xmlns:r="http://schemas.openxmlformats.org/officeDocument/2006/relationships" r:embed="rId13" cstate="print">
          <a:duotone>
            <a:schemeClr val="accent3">
              <a:shade val="45000"/>
              <a:satMod val="135000"/>
            </a:schemeClr>
            <a:prstClr val="white"/>
          </a:duotone>
          <a:extLst>
            <a:ext uri="{28A0092B-C50C-407E-A947-70E740481C1C}">
              <a14:useLocalDpi xmlns:a14="http://schemas.microsoft.com/office/drawing/2010/main" val="0"/>
            </a:ext>
          </a:extLst>
        </a:blip>
        <a:stretch>
          <a:fillRect/>
        </a:stretch>
      </xdr:blipFill>
      <xdr:spPr>
        <a:xfrm>
          <a:off x="2674620" y="3261360"/>
          <a:ext cx="1363980" cy="1363980"/>
        </a:xfrm>
        <a:prstGeom prst="rect">
          <a:avLst/>
        </a:prstGeom>
        <a:ln>
          <a:solidFill>
            <a:schemeClr val="bg2">
              <a:lumMod val="90000"/>
            </a:schemeClr>
          </a:solidFill>
        </a:ln>
      </xdr:spPr>
    </xdr:pic>
    <xdr:clientData/>
  </xdr:twoCellAnchor>
  <xdr:oneCellAnchor>
    <xdr:from>
      <xdr:col>5</xdr:col>
      <xdr:colOff>594360</xdr:colOff>
      <xdr:row>19</xdr:row>
      <xdr:rowOff>160020</xdr:rowOff>
    </xdr:from>
    <xdr:ext cx="662940" cy="640080"/>
    <xdr:sp macro="" textlink="$X$27">
      <xdr:nvSpPr>
        <xdr:cNvPr id="69" name="TextBox 68">
          <a:extLst>
            <a:ext uri="{FF2B5EF4-FFF2-40B4-BE49-F238E27FC236}">
              <a16:creationId xmlns:a16="http://schemas.microsoft.com/office/drawing/2014/main" id="{D7843A10-C6AE-4A96-8778-9A9BC5DCEE23}"/>
            </a:ext>
          </a:extLst>
        </xdr:cNvPr>
        <xdr:cNvSpPr txBox="1"/>
      </xdr:nvSpPr>
      <xdr:spPr>
        <a:xfrm>
          <a:off x="3025140" y="3634740"/>
          <a:ext cx="662940" cy="6400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E0C73E08-2354-4A87-916C-6DD61987C0F0}" type="TxLink">
            <a:rPr lang="en-US" sz="1600" b="0" i="0" u="none" strike="noStrike">
              <a:solidFill>
                <a:srgbClr val="006666"/>
              </a:solidFill>
              <a:latin typeface="Agency FB" panose="020B0503020202020204" pitchFamily="34" charset="0"/>
              <a:ea typeface="+mn-ea"/>
              <a:cs typeface="Calibri"/>
            </a:rPr>
            <a:pPr marL="0" indent="0" algn="ctr"/>
            <a:t>16.00%</a:t>
          </a:fld>
          <a:endParaRPr lang="en-US" sz="1600" b="0" i="0" u="none" strike="noStrike">
            <a:solidFill>
              <a:srgbClr val="006666"/>
            </a:solidFill>
            <a:latin typeface="Agency FB" panose="020B0503020202020204" pitchFamily="34" charset="0"/>
            <a:ea typeface="+mn-ea"/>
            <a:cs typeface="Calibri"/>
          </a:endParaRPr>
        </a:p>
      </xdr:txBody>
    </xdr:sp>
    <xdr:clientData/>
  </xdr:oneCellAnchor>
  <xdr:oneCellAnchor>
    <xdr:from>
      <xdr:col>5</xdr:col>
      <xdr:colOff>243840</xdr:colOff>
      <xdr:row>17</xdr:row>
      <xdr:rowOff>144780</xdr:rowOff>
    </xdr:from>
    <xdr:ext cx="1386840" cy="293927"/>
    <xdr:sp macro="" textlink="">
      <xdr:nvSpPr>
        <xdr:cNvPr id="70" name="TextBox 69">
          <a:extLst>
            <a:ext uri="{FF2B5EF4-FFF2-40B4-BE49-F238E27FC236}">
              <a16:creationId xmlns:a16="http://schemas.microsoft.com/office/drawing/2014/main" id="{FD8A3EC4-26B0-4D92-BA02-DEE1EE887C77}"/>
            </a:ext>
          </a:extLst>
        </xdr:cNvPr>
        <xdr:cNvSpPr txBox="1"/>
      </xdr:nvSpPr>
      <xdr:spPr>
        <a:xfrm>
          <a:off x="2674620" y="3253740"/>
          <a:ext cx="1386840" cy="2939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r>
            <a:rPr lang="en-US" sz="1400">
              <a:solidFill>
                <a:schemeClr val="tx1">
                  <a:lumMod val="50000"/>
                  <a:lumOff val="50000"/>
                </a:schemeClr>
              </a:solidFill>
              <a:latin typeface="Agency FB" panose="020B0503020202020204" pitchFamily="34" charset="0"/>
              <a:ea typeface="+mn-ea"/>
              <a:cs typeface="+mn-cs"/>
            </a:rPr>
            <a:t>Turnover</a:t>
          </a:r>
        </a:p>
      </xdr:txBody>
    </xdr:sp>
    <xdr:clientData/>
  </xdr:oneCellAnchor>
  <xdr:twoCellAnchor>
    <xdr:from>
      <xdr:col>3</xdr:col>
      <xdr:colOff>53340</xdr:colOff>
      <xdr:row>25</xdr:row>
      <xdr:rowOff>91440</xdr:rowOff>
    </xdr:from>
    <xdr:to>
      <xdr:col>7</xdr:col>
      <xdr:colOff>388620</xdr:colOff>
      <xdr:row>31</xdr:row>
      <xdr:rowOff>121920</xdr:rowOff>
    </xdr:to>
    <xdr:graphicFrame macro="">
      <xdr:nvGraphicFramePr>
        <xdr:cNvPr id="71" name="Chart 70">
          <a:extLst>
            <a:ext uri="{FF2B5EF4-FFF2-40B4-BE49-F238E27FC236}">
              <a16:creationId xmlns:a16="http://schemas.microsoft.com/office/drawing/2014/main" id="{DC44C961-7106-4032-8F97-1932E94874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419100</xdr:colOff>
      <xdr:row>23</xdr:row>
      <xdr:rowOff>160020</xdr:rowOff>
    </xdr:from>
    <xdr:to>
      <xdr:col>10</xdr:col>
      <xdr:colOff>220980</xdr:colOff>
      <xdr:row>31</xdr:row>
      <xdr:rowOff>106680</xdr:rowOff>
    </xdr:to>
    <xdr:graphicFrame macro="">
      <xdr:nvGraphicFramePr>
        <xdr:cNvPr id="72" name="Chart 71">
          <a:extLst>
            <a:ext uri="{FF2B5EF4-FFF2-40B4-BE49-F238E27FC236}">
              <a16:creationId xmlns:a16="http://schemas.microsoft.com/office/drawing/2014/main" id="{8895FD58-D31A-4D32-B0A7-D342377A95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419100</xdr:colOff>
      <xdr:row>17</xdr:row>
      <xdr:rowOff>152400</xdr:rowOff>
    </xdr:from>
    <xdr:to>
      <xdr:col>8</xdr:col>
      <xdr:colOff>601980</xdr:colOff>
      <xdr:row>23</xdr:row>
      <xdr:rowOff>137160</xdr:rowOff>
    </xdr:to>
    <xdr:sp macro="" textlink="">
      <xdr:nvSpPr>
        <xdr:cNvPr id="73" name="Rectangle 72">
          <a:extLst>
            <a:ext uri="{FF2B5EF4-FFF2-40B4-BE49-F238E27FC236}">
              <a16:creationId xmlns:a16="http://schemas.microsoft.com/office/drawing/2014/main" id="{7319F288-9AC2-4C1D-AE90-30F61EA1843A}"/>
            </a:ext>
          </a:extLst>
        </xdr:cNvPr>
        <xdr:cNvSpPr/>
      </xdr:nvSpPr>
      <xdr:spPr>
        <a:xfrm>
          <a:off x="4069080" y="3261360"/>
          <a:ext cx="792480" cy="1082040"/>
        </a:xfrm>
        <a:prstGeom prst="rect">
          <a:avLst/>
        </a:prstGeom>
        <a:noFill/>
        <a:ln w="3175">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30480</xdr:colOff>
      <xdr:row>17</xdr:row>
      <xdr:rowOff>152400</xdr:rowOff>
    </xdr:from>
    <xdr:to>
      <xdr:col>10</xdr:col>
      <xdr:colOff>213360</xdr:colOff>
      <xdr:row>23</xdr:row>
      <xdr:rowOff>137160</xdr:rowOff>
    </xdr:to>
    <xdr:sp macro="" textlink="">
      <xdr:nvSpPr>
        <xdr:cNvPr id="74" name="Rectangle 73">
          <a:extLst>
            <a:ext uri="{FF2B5EF4-FFF2-40B4-BE49-F238E27FC236}">
              <a16:creationId xmlns:a16="http://schemas.microsoft.com/office/drawing/2014/main" id="{BE25FB36-077D-4250-AD37-66B992F4A226}"/>
            </a:ext>
          </a:extLst>
        </xdr:cNvPr>
        <xdr:cNvSpPr/>
      </xdr:nvSpPr>
      <xdr:spPr>
        <a:xfrm>
          <a:off x="4899660" y="3261360"/>
          <a:ext cx="792480" cy="1082040"/>
        </a:xfrm>
        <a:prstGeom prst="rect">
          <a:avLst/>
        </a:prstGeom>
        <a:noFill/>
        <a:ln w="3175">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7</xdr:col>
      <xdr:colOff>426720</xdr:colOff>
      <xdr:row>28</xdr:row>
      <xdr:rowOff>106680</xdr:rowOff>
    </xdr:from>
    <xdr:ext cx="1630680" cy="293927"/>
    <xdr:sp macro="" textlink="">
      <xdr:nvSpPr>
        <xdr:cNvPr id="75" name="TextBox 74">
          <a:extLst>
            <a:ext uri="{FF2B5EF4-FFF2-40B4-BE49-F238E27FC236}">
              <a16:creationId xmlns:a16="http://schemas.microsoft.com/office/drawing/2014/main" id="{FEB19735-A453-4E7B-BF65-E658C5719082}"/>
            </a:ext>
          </a:extLst>
        </xdr:cNvPr>
        <xdr:cNvSpPr txBox="1"/>
      </xdr:nvSpPr>
      <xdr:spPr>
        <a:xfrm>
          <a:off x="4076700" y="5227320"/>
          <a:ext cx="1630680" cy="2939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r>
            <a:rPr lang="en-US" sz="1400">
              <a:solidFill>
                <a:schemeClr val="tx1">
                  <a:lumMod val="50000"/>
                  <a:lumOff val="50000"/>
                </a:schemeClr>
              </a:solidFill>
              <a:latin typeface="Agency FB" panose="020B0503020202020204" pitchFamily="34" charset="0"/>
              <a:ea typeface="+mn-ea"/>
              <a:cs typeface="+mn-cs"/>
            </a:rPr>
            <a:t>HR Count</a:t>
          </a:r>
        </a:p>
      </xdr:txBody>
    </xdr:sp>
    <xdr:clientData/>
  </xdr:oneCellAnchor>
  <xdr:twoCellAnchor>
    <xdr:from>
      <xdr:col>10</xdr:col>
      <xdr:colOff>259080</xdr:colOff>
      <xdr:row>17</xdr:row>
      <xdr:rowOff>160020</xdr:rowOff>
    </xdr:from>
    <xdr:to>
      <xdr:col>11</xdr:col>
      <xdr:colOff>518160</xdr:colOff>
      <xdr:row>31</xdr:row>
      <xdr:rowOff>106680</xdr:rowOff>
    </xdr:to>
    <xdr:graphicFrame macro="">
      <xdr:nvGraphicFramePr>
        <xdr:cNvPr id="76" name="Chart 75">
          <a:extLst>
            <a:ext uri="{FF2B5EF4-FFF2-40B4-BE49-F238E27FC236}">
              <a16:creationId xmlns:a16="http://schemas.microsoft.com/office/drawing/2014/main" id="{E4442C00-51A7-48DE-AEFF-25FE839C04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oneCellAnchor>
    <xdr:from>
      <xdr:col>10</xdr:col>
      <xdr:colOff>297180</xdr:colOff>
      <xdr:row>18</xdr:row>
      <xdr:rowOff>15240</xdr:rowOff>
    </xdr:from>
    <xdr:ext cx="807720" cy="518160"/>
    <xdr:sp macro="" textlink="">
      <xdr:nvSpPr>
        <xdr:cNvPr id="77" name="TextBox 76">
          <a:extLst>
            <a:ext uri="{FF2B5EF4-FFF2-40B4-BE49-F238E27FC236}">
              <a16:creationId xmlns:a16="http://schemas.microsoft.com/office/drawing/2014/main" id="{C8FE434A-AD97-43DF-85FF-1EF7C3A7A13A}"/>
            </a:ext>
          </a:extLst>
        </xdr:cNvPr>
        <xdr:cNvSpPr txBox="1"/>
      </xdr:nvSpPr>
      <xdr:spPr>
        <a:xfrm>
          <a:off x="5775960" y="3307080"/>
          <a:ext cx="807720" cy="518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ctr"/>
          <a:r>
            <a:rPr lang="en-US" sz="1400">
              <a:solidFill>
                <a:schemeClr val="tx1">
                  <a:lumMod val="50000"/>
                  <a:lumOff val="50000"/>
                </a:schemeClr>
              </a:solidFill>
              <a:latin typeface="Agency FB" panose="020B0503020202020204" pitchFamily="34" charset="0"/>
              <a:ea typeface="+mn-ea"/>
              <a:cs typeface="+mn-cs"/>
            </a:rPr>
            <a:t>Average Age</a:t>
          </a:r>
        </a:p>
      </xdr:txBody>
    </xdr:sp>
    <xdr:clientData/>
  </xdr:oneCellAnchor>
  <xdr:oneCellAnchor>
    <xdr:from>
      <xdr:col>10</xdr:col>
      <xdr:colOff>297180</xdr:colOff>
      <xdr:row>20</xdr:row>
      <xdr:rowOff>30480</xdr:rowOff>
    </xdr:from>
    <xdr:ext cx="807720" cy="518160"/>
    <xdr:sp macro="" textlink="$Y$23">
      <xdr:nvSpPr>
        <xdr:cNvPr id="78" name="TextBox 77">
          <a:extLst>
            <a:ext uri="{FF2B5EF4-FFF2-40B4-BE49-F238E27FC236}">
              <a16:creationId xmlns:a16="http://schemas.microsoft.com/office/drawing/2014/main" id="{4785C822-3B42-4A60-A2DF-8A27E662B44F}"/>
            </a:ext>
          </a:extLst>
        </xdr:cNvPr>
        <xdr:cNvSpPr txBox="1"/>
      </xdr:nvSpPr>
      <xdr:spPr>
        <a:xfrm>
          <a:off x="5775960" y="3688080"/>
          <a:ext cx="807720" cy="5181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743A0CB2-4176-44E2-9AF2-CE7E0315440B}" type="TxLink">
            <a:rPr lang="en-US" sz="1600" b="0" i="0" u="none" strike="noStrike">
              <a:solidFill>
                <a:srgbClr val="006666"/>
              </a:solidFill>
              <a:latin typeface="Agency FB" panose="020B0503020202020204" pitchFamily="34" charset="0"/>
              <a:ea typeface="+mn-ea"/>
              <a:cs typeface="Calibri"/>
            </a:rPr>
            <a:pPr marL="0" indent="0" algn="ctr"/>
            <a:t>30</a:t>
          </a:fld>
          <a:endParaRPr lang="en-US" sz="1600" b="0" i="0" u="none" strike="noStrike">
            <a:solidFill>
              <a:srgbClr val="006666"/>
            </a:solidFill>
            <a:latin typeface="Agency FB" panose="020B0503020202020204" pitchFamily="34" charset="0"/>
            <a:ea typeface="+mn-ea"/>
            <a:cs typeface="Calibri"/>
          </a:endParaRPr>
        </a:p>
      </xdr:txBody>
    </xdr:sp>
    <xdr:clientData/>
  </xdr:oneCellAnchor>
  <xdr:twoCellAnchor>
    <xdr:from>
      <xdr:col>11</xdr:col>
      <xdr:colOff>541020</xdr:colOff>
      <xdr:row>17</xdr:row>
      <xdr:rowOff>167640</xdr:rowOff>
    </xdr:from>
    <xdr:to>
      <xdr:col>14</xdr:col>
      <xdr:colOff>182880</xdr:colOff>
      <xdr:row>24</xdr:row>
      <xdr:rowOff>76200</xdr:rowOff>
    </xdr:to>
    <xdr:graphicFrame macro="">
      <xdr:nvGraphicFramePr>
        <xdr:cNvPr id="79" name="Chart 78">
          <a:extLst>
            <a:ext uri="{FF2B5EF4-FFF2-40B4-BE49-F238E27FC236}">
              <a16:creationId xmlns:a16="http://schemas.microsoft.com/office/drawing/2014/main" id="{1C1BA87D-C32A-497A-9DB5-7EFD2CDFCA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281940</xdr:colOff>
      <xdr:row>17</xdr:row>
      <xdr:rowOff>167640</xdr:rowOff>
    </xdr:from>
    <xdr:to>
      <xdr:col>16</xdr:col>
      <xdr:colOff>548640</xdr:colOff>
      <xdr:row>24</xdr:row>
      <xdr:rowOff>76200</xdr:rowOff>
    </xdr:to>
    <xdr:graphicFrame macro="">
      <xdr:nvGraphicFramePr>
        <xdr:cNvPr id="80" name="Chart 79">
          <a:extLst>
            <a:ext uri="{FF2B5EF4-FFF2-40B4-BE49-F238E27FC236}">
              <a16:creationId xmlns:a16="http://schemas.microsoft.com/office/drawing/2014/main" id="{71878621-280B-4760-B4F1-11FFBC7FBF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11</xdr:col>
      <xdr:colOff>541020</xdr:colOff>
      <xdr:row>24</xdr:row>
      <xdr:rowOff>99060</xdr:rowOff>
    </xdr:from>
    <xdr:to>
      <xdr:col>14</xdr:col>
      <xdr:colOff>198120</xdr:colOff>
      <xdr:row>31</xdr:row>
      <xdr:rowOff>99060</xdr:rowOff>
    </xdr:to>
    <xdr:graphicFrame macro="">
      <xdr:nvGraphicFramePr>
        <xdr:cNvPr id="81" name="Chart 80">
          <a:extLst>
            <a:ext uri="{FF2B5EF4-FFF2-40B4-BE49-F238E27FC236}">
              <a16:creationId xmlns:a16="http://schemas.microsoft.com/office/drawing/2014/main" id="{747EA9C5-C5BE-4581-87CF-8C9715573A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14</xdr:col>
      <xdr:colOff>274320</xdr:colOff>
      <xdr:row>24</xdr:row>
      <xdr:rowOff>106680</xdr:rowOff>
    </xdr:from>
    <xdr:to>
      <xdr:col>16</xdr:col>
      <xdr:colOff>541020</xdr:colOff>
      <xdr:row>31</xdr:row>
      <xdr:rowOff>106680</xdr:rowOff>
    </xdr:to>
    <xdr:graphicFrame macro="">
      <xdr:nvGraphicFramePr>
        <xdr:cNvPr id="82" name="Chart 81">
          <a:extLst>
            <a:ext uri="{FF2B5EF4-FFF2-40B4-BE49-F238E27FC236}">
              <a16:creationId xmlns:a16="http://schemas.microsoft.com/office/drawing/2014/main" id="{722D7445-8906-41E1-A55A-A3F7B38C4A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oneCellAnchor>
    <xdr:from>
      <xdr:col>12</xdr:col>
      <xdr:colOff>144780</xdr:colOff>
      <xdr:row>20</xdr:row>
      <xdr:rowOff>175260</xdr:rowOff>
    </xdr:from>
    <xdr:ext cx="1028700" cy="437812"/>
    <xdr:sp macro="" textlink="">
      <xdr:nvSpPr>
        <xdr:cNvPr id="83" name="TextBox 82">
          <a:extLst>
            <a:ext uri="{FF2B5EF4-FFF2-40B4-BE49-F238E27FC236}">
              <a16:creationId xmlns:a16="http://schemas.microsoft.com/office/drawing/2014/main" id="{CBA39717-40BC-4D93-B158-C84B57F44A98}"/>
            </a:ext>
          </a:extLst>
        </xdr:cNvPr>
        <xdr:cNvSpPr txBox="1"/>
      </xdr:nvSpPr>
      <xdr:spPr>
        <a:xfrm>
          <a:off x="6842760" y="3832860"/>
          <a:ext cx="1028700" cy="4378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r>
            <a:rPr lang="en-US" sz="1200">
              <a:solidFill>
                <a:schemeClr val="tx1">
                  <a:lumMod val="50000"/>
                  <a:lumOff val="50000"/>
                </a:schemeClr>
              </a:solidFill>
              <a:latin typeface="Agency FB" panose="020B0503020202020204" pitchFamily="34" charset="0"/>
              <a:ea typeface="+mn-ea"/>
              <a:cs typeface="+mn-cs"/>
            </a:rPr>
            <a:t>Automated Processes</a:t>
          </a:r>
        </a:p>
      </xdr:txBody>
    </xdr:sp>
    <xdr:clientData/>
  </xdr:oneCellAnchor>
  <xdr:oneCellAnchor>
    <xdr:from>
      <xdr:col>12</xdr:col>
      <xdr:colOff>266700</xdr:colOff>
      <xdr:row>19</xdr:row>
      <xdr:rowOff>68580</xdr:rowOff>
    </xdr:from>
    <xdr:ext cx="838200" cy="322717"/>
    <xdr:sp macro="" textlink="$X$44">
      <xdr:nvSpPr>
        <xdr:cNvPr id="84" name="TextBox 83">
          <a:extLst>
            <a:ext uri="{FF2B5EF4-FFF2-40B4-BE49-F238E27FC236}">
              <a16:creationId xmlns:a16="http://schemas.microsoft.com/office/drawing/2014/main" id="{ED669A59-D3B1-4CE1-8A1C-931A386C3063}"/>
            </a:ext>
          </a:extLst>
        </xdr:cNvPr>
        <xdr:cNvSpPr txBox="1"/>
      </xdr:nvSpPr>
      <xdr:spPr>
        <a:xfrm>
          <a:off x="6964680" y="3543300"/>
          <a:ext cx="838200" cy="32271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EC4BB268-FE8A-47FA-9E8C-DDF564FD5175}" type="TxLink">
            <a:rPr lang="en-US" sz="1600" b="0" i="0" u="none" strike="noStrike">
              <a:solidFill>
                <a:schemeClr val="tx1">
                  <a:lumMod val="65000"/>
                  <a:lumOff val="35000"/>
                </a:schemeClr>
              </a:solidFill>
              <a:latin typeface="Agency FB" panose="020B0503020202020204" pitchFamily="34" charset="0"/>
              <a:ea typeface="+mn-ea"/>
              <a:cs typeface="Calibri"/>
            </a:rPr>
            <a:pPr marL="0" indent="0" algn="ctr"/>
            <a:t>33%</a:t>
          </a:fld>
          <a:endParaRPr lang="en-US" sz="1600" b="0" i="0" u="none" strike="noStrike">
            <a:solidFill>
              <a:schemeClr val="tx1">
                <a:lumMod val="65000"/>
                <a:lumOff val="35000"/>
              </a:schemeClr>
            </a:solidFill>
            <a:latin typeface="Agency FB" panose="020B0503020202020204" pitchFamily="34" charset="0"/>
            <a:ea typeface="+mn-ea"/>
            <a:cs typeface="Calibri"/>
          </a:endParaRPr>
        </a:p>
      </xdr:txBody>
    </xdr:sp>
    <xdr:clientData/>
  </xdr:oneCellAnchor>
  <xdr:oneCellAnchor>
    <xdr:from>
      <xdr:col>14</xdr:col>
      <xdr:colOff>579120</xdr:colOff>
      <xdr:row>19</xdr:row>
      <xdr:rowOff>30480</xdr:rowOff>
    </xdr:from>
    <xdr:ext cx="838200" cy="322717"/>
    <xdr:sp macro="" textlink="$X$45">
      <xdr:nvSpPr>
        <xdr:cNvPr id="85" name="TextBox 84">
          <a:extLst>
            <a:ext uri="{FF2B5EF4-FFF2-40B4-BE49-F238E27FC236}">
              <a16:creationId xmlns:a16="http://schemas.microsoft.com/office/drawing/2014/main" id="{AE3AF7F4-FD92-44B4-B2B6-399DC698BEC6}"/>
            </a:ext>
          </a:extLst>
        </xdr:cNvPr>
        <xdr:cNvSpPr txBox="1"/>
      </xdr:nvSpPr>
      <xdr:spPr>
        <a:xfrm>
          <a:off x="8496300" y="3505200"/>
          <a:ext cx="838200" cy="32271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2AAB3B5A-5993-4BBF-B911-872ABA1A4796}" type="TxLink">
            <a:rPr lang="en-US" sz="1600" b="0" i="0" u="none" strike="noStrike">
              <a:solidFill>
                <a:schemeClr val="tx1">
                  <a:lumMod val="65000"/>
                  <a:lumOff val="35000"/>
                </a:schemeClr>
              </a:solidFill>
              <a:latin typeface="Agency FB" panose="020B0503020202020204" pitchFamily="34" charset="0"/>
              <a:ea typeface="+mn-ea"/>
              <a:cs typeface="Calibri"/>
            </a:rPr>
            <a:pPr marL="0" indent="0" algn="ctr"/>
            <a:t>86%</a:t>
          </a:fld>
          <a:endParaRPr lang="en-US" sz="1600" b="0" i="0" u="none" strike="noStrike">
            <a:solidFill>
              <a:schemeClr val="tx1">
                <a:lumMod val="65000"/>
                <a:lumOff val="35000"/>
              </a:schemeClr>
            </a:solidFill>
            <a:latin typeface="Agency FB" panose="020B0503020202020204" pitchFamily="34" charset="0"/>
            <a:ea typeface="+mn-ea"/>
            <a:cs typeface="Calibri"/>
          </a:endParaRPr>
        </a:p>
      </xdr:txBody>
    </xdr:sp>
    <xdr:clientData/>
  </xdr:oneCellAnchor>
  <xdr:oneCellAnchor>
    <xdr:from>
      <xdr:col>14</xdr:col>
      <xdr:colOff>510540</xdr:colOff>
      <xdr:row>20</xdr:row>
      <xdr:rowOff>137160</xdr:rowOff>
    </xdr:from>
    <xdr:ext cx="1028700" cy="437812"/>
    <xdr:sp macro="" textlink="">
      <xdr:nvSpPr>
        <xdr:cNvPr id="86" name="TextBox 85">
          <a:extLst>
            <a:ext uri="{FF2B5EF4-FFF2-40B4-BE49-F238E27FC236}">
              <a16:creationId xmlns:a16="http://schemas.microsoft.com/office/drawing/2014/main" id="{EF5497C9-8F12-4A1E-B60C-66F7E4A8F89F}"/>
            </a:ext>
          </a:extLst>
        </xdr:cNvPr>
        <xdr:cNvSpPr txBox="1"/>
      </xdr:nvSpPr>
      <xdr:spPr>
        <a:xfrm>
          <a:off x="8427720" y="3794760"/>
          <a:ext cx="1028700" cy="4378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r>
            <a:rPr lang="en-US" sz="1200">
              <a:solidFill>
                <a:schemeClr val="tx1">
                  <a:lumMod val="50000"/>
                  <a:lumOff val="50000"/>
                </a:schemeClr>
              </a:solidFill>
              <a:latin typeface="Agency FB" panose="020B0503020202020204" pitchFamily="34" charset="0"/>
              <a:ea typeface="+mn-ea"/>
              <a:cs typeface="+mn-cs"/>
            </a:rPr>
            <a:t>Training Effectiveness</a:t>
          </a:r>
        </a:p>
      </xdr:txBody>
    </xdr:sp>
    <xdr:clientData/>
  </xdr:oneCellAnchor>
  <xdr:oneCellAnchor>
    <xdr:from>
      <xdr:col>12</xdr:col>
      <xdr:colOff>266700</xdr:colOff>
      <xdr:row>25</xdr:row>
      <xdr:rowOff>152400</xdr:rowOff>
    </xdr:from>
    <xdr:ext cx="838200" cy="322717"/>
    <xdr:sp macro="" textlink="$X$46">
      <xdr:nvSpPr>
        <xdr:cNvPr id="87" name="TextBox 86">
          <a:extLst>
            <a:ext uri="{FF2B5EF4-FFF2-40B4-BE49-F238E27FC236}">
              <a16:creationId xmlns:a16="http://schemas.microsoft.com/office/drawing/2014/main" id="{7F839971-3F50-46B5-BF87-8FAB800B4B87}"/>
            </a:ext>
          </a:extLst>
        </xdr:cNvPr>
        <xdr:cNvSpPr txBox="1"/>
      </xdr:nvSpPr>
      <xdr:spPr>
        <a:xfrm>
          <a:off x="6964680" y="4724400"/>
          <a:ext cx="838200" cy="32271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6747AE72-326A-4C0B-B21F-DDDC78A7AEB9}" type="TxLink">
            <a:rPr lang="en-US" sz="1600" b="0" i="0" u="none" strike="noStrike">
              <a:solidFill>
                <a:schemeClr val="tx1">
                  <a:lumMod val="65000"/>
                  <a:lumOff val="35000"/>
                </a:schemeClr>
              </a:solidFill>
              <a:latin typeface="Agency FB" panose="020B0503020202020204" pitchFamily="34" charset="0"/>
              <a:ea typeface="+mn-ea"/>
              <a:cs typeface="Calibri"/>
            </a:rPr>
            <a:pPr marL="0" indent="0" algn="ctr"/>
            <a:t>87%</a:t>
          </a:fld>
          <a:endParaRPr lang="en-US" sz="1600" b="0" i="0" u="none" strike="noStrike">
            <a:solidFill>
              <a:schemeClr val="tx1">
                <a:lumMod val="65000"/>
                <a:lumOff val="35000"/>
              </a:schemeClr>
            </a:solidFill>
            <a:latin typeface="Agency FB" panose="020B0503020202020204" pitchFamily="34" charset="0"/>
            <a:ea typeface="+mn-ea"/>
            <a:cs typeface="Calibri"/>
          </a:endParaRPr>
        </a:p>
      </xdr:txBody>
    </xdr:sp>
    <xdr:clientData/>
  </xdr:oneCellAnchor>
  <xdr:oneCellAnchor>
    <xdr:from>
      <xdr:col>12</xdr:col>
      <xdr:colOff>144780</xdr:colOff>
      <xdr:row>27</xdr:row>
      <xdr:rowOff>121920</xdr:rowOff>
    </xdr:from>
    <xdr:ext cx="1028700" cy="437812"/>
    <xdr:sp macro="" textlink="">
      <xdr:nvSpPr>
        <xdr:cNvPr id="88" name="TextBox 87">
          <a:extLst>
            <a:ext uri="{FF2B5EF4-FFF2-40B4-BE49-F238E27FC236}">
              <a16:creationId xmlns:a16="http://schemas.microsoft.com/office/drawing/2014/main" id="{53803F9E-F3B5-4730-B2F3-CE4B06B31641}"/>
            </a:ext>
          </a:extLst>
        </xdr:cNvPr>
        <xdr:cNvSpPr txBox="1"/>
      </xdr:nvSpPr>
      <xdr:spPr>
        <a:xfrm>
          <a:off x="6842760" y="5059680"/>
          <a:ext cx="1028700" cy="4378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r>
            <a:rPr lang="en-US" sz="1200">
              <a:solidFill>
                <a:schemeClr val="tx1">
                  <a:lumMod val="50000"/>
                  <a:lumOff val="50000"/>
                </a:schemeClr>
              </a:solidFill>
              <a:latin typeface="Agency FB" panose="020B0503020202020204" pitchFamily="34" charset="0"/>
              <a:ea typeface="+mn-ea"/>
              <a:cs typeface="+mn-cs"/>
            </a:rPr>
            <a:t>Training</a:t>
          </a:r>
          <a:r>
            <a:rPr lang="en-US" sz="1200" baseline="0">
              <a:solidFill>
                <a:schemeClr val="tx1">
                  <a:lumMod val="50000"/>
                  <a:lumOff val="50000"/>
                </a:schemeClr>
              </a:solidFill>
              <a:latin typeface="Agency FB" panose="020B0503020202020204" pitchFamily="34" charset="0"/>
              <a:ea typeface="+mn-ea"/>
              <a:cs typeface="+mn-cs"/>
            </a:rPr>
            <a:t> Plan Achievement </a:t>
          </a:r>
          <a:endParaRPr lang="en-US" sz="1200">
            <a:solidFill>
              <a:schemeClr val="tx1">
                <a:lumMod val="50000"/>
                <a:lumOff val="50000"/>
              </a:schemeClr>
            </a:solidFill>
            <a:latin typeface="Agency FB" panose="020B0503020202020204" pitchFamily="34" charset="0"/>
            <a:ea typeface="+mn-ea"/>
            <a:cs typeface="+mn-cs"/>
          </a:endParaRPr>
        </a:p>
      </xdr:txBody>
    </xdr:sp>
    <xdr:clientData/>
  </xdr:oneCellAnchor>
  <xdr:oneCellAnchor>
    <xdr:from>
      <xdr:col>14</xdr:col>
      <xdr:colOff>495300</xdr:colOff>
      <xdr:row>27</xdr:row>
      <xdr:rowOff>114300</xdr:rowOff>
    </xdr:from>
    <xdr:ext cx="1028700" cy="437812"/>
    <xdr:sp macro="" textlink="">
      <xdr:nvSpPr>
        <xdr:cNvPr id="89" name="TextBox 88">
          <a:extLst>
            <a:ext uri="{FF2B5EF4-FFF2-40B4-BE49-F238E27FC236}">
              <a16:creationId xmlns:a16="http://schemas.microsoft.com/office/drawing/2014/main" id="{945790E6-34F6-4917-80DC-300C46802E57}"/>
            </a:ext>
          </a:extLst>
        </xdr:cNvPr>
        <xdr:cNvSpPr txBox="1"/>
      </xdr:nvSpPr>
      <xdr:spPr>
        <a:xfrm>
          <a:off x="8412480" y="5052060"/>
          <a:ext cx="1028700" cy="4378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r>
            <a:rPr lang="en-US" sz="1200">
              <a:solidFill>
                <a:schemeClr val="tx1">
                  <a:lumMod val="50000"/>
                  <a:lumOff val="50000"/>
                </a:schemeClr>
              </a:solidFill>
              <a:latin typeface="Agency FB" panose="020B0503020202020204" pitchFamily="34" charset="0"/>
              <a:ea typeface="+mn-ea"/>
              <a:cs typeface="+mn-cs"/>
            </a:rPr>
            <a:t>MP</a:t>
          </a:r>
          <a:r>
            <a:rPr lang="en-US" sz="1200" baseline="0">
              <a:solidFill>
                <a:schemeClr val="tx1">
                  <a:lumMod val="50000"/>
                  <a:lumOff val="50000"/>
                </a:schemeClr>
              </a:solidFill>
              <a:latin typeface="Agency FB" panose="020B0503020202020204" pitchFamily="34" charset="0"/>
              <a:ea typeface="+mn-ea"/>
              <a:cs typeface="+mn-cs"/>
            </a:rPr>
            <a:t> Plan Achievement </a:t>
          </a:r>
          <a:endParaRPr lang="en-US" sz="1200">
            <a:solidFill>
              <a:schemeClr val="tx1">
                <a:lumMod val="50000"/>
                <a:lumOff val="50000"/>
              </a:schemeClr>
            </a:solidFill>
            <a:latin typeface="Agency FB" panose="020B0503020202020204" pitchFamily="34" charset="0"/>
            <a:ea typeface="+mn-ea"/>
            <a:cs typeface="+mn-cs"/>
          </a:endParaRPr>
        </a:p>
      </xdr:txBody>
    </xdr:sp>
    <xdr:clientData/>
  </xdr:oneCellAnchor>
  <xdr:oneCellAnchor>
    <xdr:from>
      <xdr:col>15</xdr:col>
      <xdr:colOff>0</xdr:colOff>
      <xdr:row>26</xdr:row>
      <xdr:rowOff>0</xdr:rowOff>
    </xdr:from>
    <xdr:ext cx="838200" cy="322717"/>
    <xdr:sp macro="" textlink="$X$47">
      <xdr:nvSpPr>
        <xdr:cNvPr id="90" name="TextBox 89">
          <a:extLst>
            <a:ext uri="{FF2B5EF4-FFF2-40B4-BE49-F238E27FC236}">
              <a16:creationId xmlns:a16="http://schemas.microsoft.com/office/drawing/2014/main" id="{7BB1A8F9-D0A4-4D8B-87AB-40F17FA58468}"/>
            </a:ext>
          </a:extLst>
        </xdr:cNvPr>
        <xdr:cNvSpPr txBox="1"/>
      </xdr:nvSpPr>
      <xdr:spPr>
        <a:xfrm>
          <a:off x="8526780" y="4754880"/>
          <a:ext cx="838200" cy="32271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13E95B84-EE63-4A74-B3F9-8764469FB99F}" type="TxLink">
            <a:rPr lang="en-US" sz="1600" b="0" i="0" u="none" strike="noStrike">
              <a:solidFill>
                <a:schemeClr val="tx1">
                  <a:lumMod val="65000"/>
                  <a:lumOff val="35000"/>
                </a:schemeClr>
              </a:solidFill>
              <a:latin typeface="Agency FB" panose="020B0503020202020204" pitchFamily="34" charset="0"/>
              <a:ea typeface="+mn-ea"/>
              <a:cs typeface="Calibri"/>
            </a:rPr>
            <a:pPr marL="0" indent="0" algn="ctr"/>
            <a:t>86%</a:t>
          </a:fld>
          <a:endParaRPr lang="en-US" sz="1600" b="0" i="0" u="none" strike="noStrike">
            <a:solidFill>
              <a:schemeClr val="tx1">
                <a:lumMod val="65000"/>
                <a:lumOff val="35000"/>
              </a:schemeClr>
            </a:solidFill>
            <a:latin typeface="Agency FB" panose="020B0503020202020204" pitchFamily="34" charset="0"/>
            <a:ea typeface="+mn-ea"/>
            <a:cs typeface="Calibri"/>
          </a:endParaRPr>
        </a:p>
      </xdr:txBody>
    </xdr:sp>
    <xdr:clientData/>
  </xdr:oneCellAnchor>
  <xdr:oneCellAnchor>
    <xdr:from>
      <xdr:col>7</xdr:col>
      <xdr:colOff>441960</xdr:colOff>
      <xdr:row>17</xdr:row>
      <xdr:rowOff>160020</xdr:rowOff>
    </xdr:from>
    <xdr:ext cx="807720" cy="518160"/>
    <xdr:sp macro="" textlink="">
      <xdr:nvSpPr>
        <xdr:cNvPr id="91" name="TextBox 90">
          <a:extLst>
            <a:ext uri="{FF2B5EF4-FFF2-40B4-BE49-F238E27FC236}">
              <a16:creationId xmlns:a16="http://schemas.microsoft.com/office/drawing/2014/main" id="{59046163-D34C-4C94-ADA4-085D66ACB142}"/>
            </a:ext>
          </a:extLst>
        </xdr:cNvPr>
        <xdr:cNvSpPr txBox="1"/>
      </xdr:nvSpPr>
      <xdr:spPr>
        <a:xfrm>
          <a:off x="4091940" y="3268980"/>
          <a:ext cx="807720" cy="518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ctr"/>
          <a:r>
            <a:rPr lang="en-US" sz="1400">
              <a:solidFill>
                <a:schemeClr val="tx1">
                  <a:lumMod val="50000"/>
                  <a:lumOff val="50000"/>
                </a:schemeClr>
              </a:solidFill>
              <a:latin typeface="Agency FB" panose="020B0503020202020204" pitchFamily="34" charset="0"/>
              <a:ea typeface="+mn-ea"/>
              <a:cs typeface="+mn-cs"/>
            </a:rPr>
            <a:t>Retired Employees</a:t>
          </a:r>
        </a:p>
      </xdr:txBody>
    </xdr:sp>
    <xdr:clientData/>
  </xdr:oneCellAnchor>
  <xdr:oneCellAnchor>
    <xdr:from>
      <xdr:col>7</xdr:col>
      <xdr:colOff>419100</xdr:colOff>
      <xdr:row>20</xdr:row>
      <xdr:rowOff>152400</xdr:rowOff>
    </xdr:from>
    <xdr:ext cx="777240" cy="406537"/>
    <xdr:sp macro="" textlink="$AA$23">
      <xdr:nvSpPr>
        <xdr:cNvPr id="92" name="TextBox 91">
          <a:extLst>
            <a:ext uri="{FF2B5EF4-FFF2-40B4-BE49-F238E27FC236}">
              <a16:creationId xmlns:a16="http://schemas.microsoft.com/office/drawing/2014/main" id="{740BAC80-3B47-4709-A3C4-98A87E3E5DE4}"/>
            </a:ext>
          </a:extLst>
        </xdr:cNvPr>
        <xdr:cNvSpPr txBox="1"/>
      </xdr:nvSpPr>
      <xdr:spPr>
        <a:xfrm>
          <a:off x="4069080" y="3810000"/>
          <a:ext cx="777240" cy="40653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8A3DB214-4797-4DE9-8E33-8B0688C365C0}" type="TxLink">
            <a:rPr lang="en-US" sz="1600" b="0" i="0" u="none" strike="noStrike">
              <a:solidFill>
                <a:srgbClr val="006666"/>
              </a:solidFill>
              <a:latin typeface="Agency FB" panose="020B0503020202020204" pitchFamily="34" charset="0"/>
              <a:ea typeface="+mn-ea"/>
              <a:cs typeface="Calibri"/>
            </a:rPr>
            <a:pPr marL="0" indent="0" algn="ctr"/>
            <a:t>30</a:t>
          </a:fld>
          <a:endParaRPr lang="en-US" sz="1600" b="0" i="0" u="none" strike="noStrike">
            <a:solidFill>
              <a:srgbClr val="006666"/>
            </a:solidFill>
            <a:latin typeface="Agency FB" panose="020B0503020202020204" pitchFamily="34" charset="0"/>
            <a:ea typeface="+mn-ea"/>
            <a:cs typeface="Calibri"/>
          </a:endParaRPr>
        </a:p>
      </xdr:txBody>
    </xdr:sp>
    <xdr:clientData/>
  </xdr:oneCellAnchor>
  <xdr:oneCellAnchor>
    <xdr:from>
      <xdr:col>9</xdr:col>
      <xdr:colOff>38100</xdr:colOff>
      <xdr:row>17</xdr:row>
      <xdr:rowOff>167640</xdr:rowOff>
    </xdr:from>
    <xdr:ext cx="807720" cy="518160"/>
    <xdr:sp macro="" textlink="">
      <xdr:nvSpPr>
        <xdr:cNvPr id="93" name="TextBox 92">
          <a:extLst>
            <a:ext uri="{FF2B5EF4-FFF2-40B4-BE49-F238E27FC236}">
              <a16:creationId xmlns:a16="http://schemas.microsoft.com/office/drawing/2014/main" id="{E303299F-146D-4C30-BD2D-08C1F8F40757}"/>
            </a:ext>
          </a:extLst>
        </xdr:cNvPr>
        <xdr:cNvSpPr txBox="1"/>
      </xdr:nvSpPr>
      <xdr:spPr>
        <a:xfrm>
          <a:off x="4907280" y="3276600"/>
          <a:ext cx="807720" cy="518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ctr"/>
          <a:r>
            <a:rPr lang="en-US" sz="1400">
              <a:solidFill>
                <a:schemeClr val="tx1">
                  <a:lumMod val="50000"/>
                  <a:lumOff val="50000"/>
                </a:schemeClr>
              </a:solidFill>
              <a:latin typeface="Agency FB" panose="020B0503020202020204" pitchFamily="34" charset="0"/>
              <a:ea typeface="+mn-ea"/>
              <a:cs typeface="+mn-cs"/>
            </a:rPr>
            <a:t>Leavers &lt; 3 Years</a:t>
          </a:r>
        </a:p>
      </xdr:txBody>
    </xdr:sp>
    <xdr:clientData/>
  </xdr:oneCellAnchor>
  <xdr:oneCellAnchor>
    <xdr:from>
      <xdr:col>9</xdr:col>
      <xdr:colOff>15240</xdr:colOff>
      <xdr:row>20</xdr:row>
      <xdr:rowOff>160020</xdr:rowOff>
    </xdr:from>
    <xdr:ext cx="777240" cy="406537"/>
    <xdr:sp macro="" textlink="$Z$23">
      <xdr:nvSpPr>
        <xdr:cNvPr id="94" name="TextBox 93">
          <a:extLst>
            <a:ext uri="{FF2B5EF4-FFF2-40B4-BE49-F238E27FC236}">
              <a16:creationId xmlns:a16="http://schemas.microsoft.com/office/drawing/2014/main" id="{F1E61DCB-E9DC-4F63-9257-D053CEDCE07B}"/>
            </a:ext>
          </a:extLst>
        </xdr:cNvPr>
        <xdr:cNvSpPr txBox="1"/>
      </xdr:nvSpPr>
      <xdr:spPr>
        <a:xfrm>
          <a:off x="4884420" y="3817620"/>
          <a:ext cx="777240" cy="40653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21C4ED3E-A5E1-4BF2-ABF0-7E48BB4FF2C6}" type="TxLink">
            <a:rPr lang="en-US" sz="1600" b="0" i="0" u="none" strike="noStrike">
              <a:solidFill>
                <a:srgbClr val="006666"/>
              </a:solidFill>
              <a:latin typeface="Agency FB" panose="020B0503020202020204" pitchFamily="34" charset="0"/>
              <a:ea typeface="+mn-ea"/>
              <a:cs typeface="Calibri"/>
            </a:rPr>
            <a:pPr marL="0" indent="0" algn="ctr"/>
            <a:t>100</a:t>
          </a:fld>
          <a:endParaRPr lang="en-US" sz="1600" b="0" i="0" u="none" strike="noStrike">
            <a:solidFill>
              <a:srgbClr val="006666"/>
            </a:solidFill>
            <a:latin typeface="Agency FB" panose="020B0503020202020204" pitchFamily="34" charset="0"/>
            <a:ea typeface="+mn-ea"/>
            <a:cs typeface="Calibri"/>
          </a:endParaRPr>
        </a:p>
      </xdr:txBody>
    </xdr:sp>
    <xdr:clientData/>
  </xdr:oneCellAnchor>
  <xdr:twoCellAnchor>
    <xdr:from>
      <xdr:col>11</xdr:col>
      <xdr:colOff>541020</xdr:colOff>
      <xdr:row>8</xdr:row>
      <xdr:rowOff>102870</xdr:rowOff>
    </xdr:from>
    <xdr:to>
      <xdr:col>13</xdr:col>
      <xdr:colOff>236220</xdr:colOff>
      <xdr:row>13</xdr:row>
      <xdr:rowOff>102870</xdr:rowOff>
    </xdr:to>
    <xdr:sp macro="" textlink="">
      <xdr:nvSpPr>
        <xdr:cNvPr id="3" name="TextBox 2">
          <a:extLst>
            <a:ext uri="{FF2B5EF4-FFF2-40B4-BE49-F238E27FC236}">
              <a16:creationId xmlns:a16="http://schemas.microsoft.com/office/drawing/2014/main" id="{7BDEECCC-FFF4-E8FB-48DA-18814806CB5F}"/>
            </a:ext>
          </a:extLst>
        </xdr:cNvPr>
        <xdr:cNvSpPr txBox="1"/>
      </xdr:nvSpPr>
      <xdr:spPr>
        <a:xfrm>
          <a:off x="6629400" y="2091690"/>
          <a:ext cx="9144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6</xdr:col>
      <xdr:colOff>541020</xdr:colOff>
      <xdr:row>0</xdr:row>
      <xdr:rowOff>7620</xdr:rowOff>
    </xdr:from>
    <xdr:to>
      <xdr:col>13</xdr:col>
      <xdr:colOff>30480</xdr:colOff>
      <xdr:row>0</xdr:row>
      <xdr:rowOff>685800</xdr:rowOff>
    </xdr:to>
    <xdr:sp macro="" textlink="">
      <xdr:nvSpPr>
        <xdr:cNvPr id="8" name="TextBox 7">
          <a:extLst>
            <a:ext uri="{FF2B5EF4-FFF2-40B4-BE49-F238E27FC236}">
              <a16:creationId xmlns:a16="http://schemas.microsoft.com/office/drawing/2014/main" id="{43AB2280-11E3-915B-6602-7126E3D99823}"/>
            </a:ext>
          </a:extLst>
        </xdr:cNvPr>
        <xdr:cNvSpPr txBox="1"/>
      </xdr:nvSpPr>
      <xdr:spPr>
        <a:xfrm>
          <a:off x="3581400" y="7620"/>
          <a:ext cx="3756660" cy="678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4400">
              <a:solidFill>
                <a:srgbClr val="006666"/>
              </a:solidFill>
              <a:effectLst/>
              <a:latin typeface="+mn-lt"/>
              <a:ea typeface="+mn-ea"/>
              <a:cs typeface="+mn-cs"/>
            </a:rPr>
            <a:t>HR</a:t>
          </a:r>
          <a:r>
            <a:rPr lang="en-US" sz="4400" baseline="0">
              <a:solidFill>
                <a:srgbClr val="006666"/>
              </a:solidFill>
              <a:effectLst/>
              <a:latin typeface="+mn-lt"/>
              <a:ea typeface="+mn-ea"/>
              <a:cs typeface="+mn-cs"/>
            </a:rPr>
            <a:t> Dashboard</a:t>
          </a:r>
          <a:endParaRPr lang="en-US" sz="4400">
            <a:solidFill>
              <a:srgbClr val="006666"/>
            </a:solidFill>
            <a:effectLst/>
          </a:endParaRPr>
        </a:p>
        <a:p>
          <a:pPr algn="l"/>
          <a:endParaRPr lang="en-US" sz="4400">
            <a:solidFill>
              <a:srgbClr val="006666"/>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77.780780439818" createdVersion="8" refreshedVersion="8" minRefreshableVersion="3" recordCount="12" xr:uid="{D8299FD3-C69F-4EF8-85C8-BE6E4CA47C10}">
  <cacheSource type="worksheet">
    <worksheetSource name="MainData"/>
  </cacheSource>
  <cacheFields count="34">
    <cacheField name="Month" numFmtId="0">
      <sharedItems count="12">
        <s v="Jan"/>
        <s v="Feb"/>
        <s v="Mar"/>
        <s v="Apr"/>
        <s v="May"/>
        <s v="Jun"/>
        <s v="Jul"/>
        <s v="Aug"/>
        <s v="Sep"/>
        <s v="Oct"/>
        <s v="Nov"/>
        <s v="Dec"/>
      </sharedItems>
    </cacheField>
    <cacheField name="Saudis" numFmtId="3">
      <sharedItems containsSemiMixedTypes="0" containsString="0" containsNumber="1" containsInteger="1" minValue="870" maxValue="1110" count="11">
        <n v="1000"/>
        <n v="1100"/>
        <n v="1101"/>
        <n v="900"/>
        <n v="1110"/>
        <n v="1009"/>
        <n v="1003"/>
        <n v="980"/>
        <n v="930"/>
        <n v="870"/>
        <n v="990"/>
      </sharedItems>
    </cacheField>
    <cacheField name="Non-Sauids" numFmtId="3">
      <sharedItems containsSemiMixedTypes="0" containsString="0" containsNumber="1" containsInteger="1" minValue="2210" maxValue="3000" count="11">
        <n v="2700"/>
        <n v="2800"/>
        <n v="2900"/>
        <n v="3000"/>
        <n v="2713"/>
        <n v="2710"/>
        <n v="2600"/>
        <n v="2500"/>
        <n v="2400"/>
        <n v="2300"/>
        <n v="2210"/>
      </sharedItems>
    </cacheField>
    <cacheField name="# Headcount" numFmtId="3">
      <sharedItems containsSemiMixedTypes="0" containsString="0" containsNumber="1" containsInteger="1" minValue="3170" maxValue="4001"/>
    </cacheField>
    <cacheField name="% Saudization" numFmtId="9">
      <sharedItems containsSemiMixedTypes="0" containsString="0" containsNumber="1" minValue="0.23076923076923078" maxValue="0.30937500000000001"/>
    </cacheField>
    <cacheField name="# Sick Leave" numFmtId="0">
      <sharedItems containsSemiMixedTypes="0" containsString="0" containsNumber="1" containsInteger="1" minValue="2" maxValue="98"/>
    </cacheField>
    <cacheField name="# Hours Late" numFmtId="0">
      <sharedItems containsSemiMixedTypes="0" containsString="0" containsNumber="1" containsInteger="1" minValue="26" maxValue="120"/>
    </cacheField>
    <cacheField name="# Unpaid Leaves" numFmtId="0">
      <sharedItems containsSemiMixedTypes="0" containsString="0" containsNumber="1" containsInteger="1" minValue="11" maxValue="450"/>
    </cacheField>
    <cacheField name="$ Incentive" numFmtId="164">
      <sharedItems containsSemiMixedTypes="0" containsString="0" containsNumber="1" containsInteger="1" minValue="117709" maxValue="888950"/>
    </cacheField>
    <cacheField name="$ Overtime" numFmtId="164">
      <sharedItems containsSemiMixedTypes="0" containsString="0" containsNumber="1" containsInteger="1" minValue="150000" maxValue="1223002"/>
    </cacheField>
    <cacheField name="$ Payroll" numFmtId="164">
      <sharedItems containsSemiMixedTypes="0" containsString="0" containsNumber="1" containsInteger="1" minValue="10588823" maxValue="14824780"/>
    </cacheField>
    <cacheField name="# Leavers" numFmtId="0">
      <sharedItems containsSemiMixedTypes="0" containsString="0" containsNumber="1" containsInteger="1" minValue="14" maxValue="300" count="12">
        <n v="22"/>
        <n v="14"/>
        <n v="29"/>
        <n v="30"/>
        <n v="233"/>
        <n v="164"/>
        <n v="278"/>
        <n v="101"/>
        <n v="183"/>
        <n v="151"/>
        <n v="300"/>
        <n v="230"/>
      </sharedItems>
    </cacheField>
    <cacheField name="# Joiners" numFmtId="0">
      <sharedItems containsSemiMixedTypes="0" containsString="0" containsNumber="1" containsInteger="1" minValue="4" maxValue="266"/>
    </cacheField>
    <cacheField name="% Outsource" numFmtId="0">
      <sharedItems containsSemiMixedTypes="0" containsString="0" containsNumber="1" containsInteger="1" minValue="30" maxValue="287"/>
    </cacheField>
    <cacheField name="# Part Timers" numFmtId="0">
      <sharedItems containsSemiMixedTypes="0" containsString="0" containsNumber="1" containsInteger="1" minValue="30" maxValue="274"/>
    </cacheField>
    <cacheField name="# Employees Aged &gt;50" numFmtId="0">
      <sharedItems containsSemiMixedTypes="0" containsString="0" containsNumber="1" containsInteger="1" minValue="10" maxValue="243"/>
    </cacheField>
    <cacheField name="% Of Females" numFmtId="0">
      <sharedItems containsSemiMixedTypes="0" containsString="0" containsNumber="1" containsInteger="1" minValue="59" maxValue="300"/>
    </cacheField>
    <cacheField name="# Corrective Actions" numFmtId="0">
      <sharedItems containsSemiMixedTypes="0" containsString="0" containsNumber="1" containsInteger="1" minValue="11" maxValue="288"/>
    </cacheField>
    <cacheField name="# Contract Termination" numFmtId="0">
      <sharedItems containsSemiMixedTypes="0" containsString="0" containsNumber="1" containsInteger="1" minValue="0" maxValue="236"/>
    </cacheField>
    <cacheField name="# Probation Period Termination" numFmtId="0">
      <sharedItems containsSemiMixedTypes="0" containsString="0" containsNumber="1" containsInteger="1" minValue="2" maxValue="283"/>
    </cacheField>
    <cacheField name="# Leavers With Service Less Than 3 Years" numFmtId="0">
      <sharedItems containsSemiMixedTypes="0" containsString="0" containsNumber="1" containsInteger="1" minValue="2" maxValue="214"/>
    </cacheField>
    <cacheField name="% Turnover" numFmtId="10">
      <sharedItems containsSemiMixedTypes="0" containsString="0" containsNumber="1" minValue="0.12" maxValue="0.19"/>
    </cacheField>
    <cacheField name="# Retried Employees" numFmtId="0">
      <sharedItems containsSemiMixedTypes="0" containsString="0" containsNumber="1" containsInteger="1" minValue="1" maxValue="22"/>
    </cacheField>
    <cacheField name="Avg Age" numFmtId="0">
      <sharedItems containsSemiMixedTypes="0" containsString="0" containsNumber="1" containsInteger="1" minValue="30" maxValue="41" count="8">
        <n v="32"/>
        <n v="33"/>
        <n v="34"/>
        <n v="40"/>
        <n v="41"/>
        <n v="39"/>
        <n v="35"/>
        <n v="30"/>
      </sharedItems>
    </cacheField>
    <cacheField name="% Hr Expenses Vs Budget" numFmtId="9">
      <sharedItems containsSemiMixedTypes="0" containsString="0" containsNumber="1" minValue="0.2" maxValue="1"/>
    </cacheField>
    <cacheField name="# Training Hours" numFmtId="0">
      <sharedItems containsSemiMixedTypes="0" containsString="0" containsNumber="1" containsInteger="1" minValue="51" maxValue="160"/>
    </cacheField>
    <cacheField name="# Trained Employees" numFmtId="0">
      <sharedItems containsSemiMixedTypes="0" containsString="0" containsNumber="1" containsInteger="1" minValue="5" maxValue="191" count="12">
        <n v="45"/>
        <n v="40"/>
        <n v="19"/>
        <n v="5"/>
        <n v="75"/>
        <n v="58"/>
        <n v="73"/>
        <n v="158"/>
        <n v="127"/>
        <n v="53"/>
        <n v="101"/>
        <n v="191"/>
      </sharedItems>
    </cacheField>
    <cacheField name="# HR Headcount" numFmtId="0">
      <sharedItems containsSemiMixedTypes="0" containsString="0" containsNumber="1" containsInteger="1" minValue="281" maxValue="345"/>
    </cacheField>
    <cacheField name="% Automated Processes" numFmtId="9">
      <sharedItems containsSemiMixedTypes="0" containsString="0" containsNumber="1" minValue="0.18" maxValue="0.8"/>
    </cacheField>
    <cacheField name="% High Performers" numFmtId="9">
      <sharedItems containsSemiMixedTypes="0" containsString="0" containsNumber="1" minValue="0.04" maxValue="0.33" count="8">
        <n v="0.1"/>
        <n v="0.12"/>
        <n v="0.11"/>
        <n v="0.19"/>
        <n v="0.04"/>
        <n v="0.08"/>
        <n v="0.2"/>
        <n v="0.33"/>
      </sharedItems>
    </cacheField>
    <cacheField name="% Low Performers" numFmtId="9">
      <sharedItems containsSemiMixedTypes="0" containsString="0" containsNumber="1" minValue="0.04" maxValue="0.22"/>
    </cacheField>
    <cacheField name="% Training Effectiveness Index" numFmtId="9">
      <sharedItems containsSemiMixedTypes="0" containsString="0" containsNumber="1" minValue="0.54" maxValue="0.9"/>
    </cacheField>
    <cacheField name="% Training Plan Achieved'" numFmtId="9">
      <sharedItems containsSemiMixedTypes="0" containsString="0" containsNumber="1" minValue="0.4" maxValue="0.97"/>
    </cacheField>
    <cacheField name="% Manpower Plan Achieved" numFmtId="9">
      <sharedItems containsSemiMixedTypes="0" containsString="0" containsNumber="1" minValue="0.22" maxValue="0.9"/>
    </cacheField>
  </cacheFields>
  <extLst>
    <ext xmlns:x14="http://schemas.microsoft.com/office/spreadsheetml/2009/9/main" uri="{725AE2AE-9491-48be-B2B4-4EB974FC3084}">
      <x14:pivotCacheDefinition pivotCacheId="20108999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n v="3700"/>
    <n v="0.27027027027027029"/>
    <n v="33"/>
    <n v="33"/>
    <n v="120"/>
    <n v="887209"/>
    <n v="150000"/>
    <n v="12009400"/>
    <x v="0"/>
    <n v="10"/>
    <n v="40"/>
    <n v="50"/>
    <n v="50"/>
    <n v="300"/>
    <n v="100"/>
    <n v="10"/>
    <n v="12"/>
    <n v="3"/>
    <n v="0.12"/>
    <n v="1"/>
    <x v="0"/>
    <n v="0.8"/>
    <n v="120"/>
    <x v="0"/>
    <n v="320"/>
    <n v="0.18"/>
    <x v="0"/>
    <n v="0.22"/>
    <n v="0.8"/>
    <n v="0.7"/>
    <n v="0.22"/>
  </r>
  <r>
    <x v="1"/>
    <x v="1"/>
    <x v="1"/>
    <n v="3900"/>
    <n v="0.28205128205128205"/>
    <n v="12"/>
    <n v="50"/>
    <n v="300"/>
    <n v="665840"/>
    <n v="550403"/>
    <n v="13004030"/>
    <x v="1"/>
    <n v="30"/>
    <n v="150"/>
    <n v="55"/>
    <n v="40"/>
    <n v="250"/>
    <n v="90"/>
    <n v="2"/>
    <n v="5"/>
    <n v="12"/>
    <n v="0.123"/>
    <n v="1"/>
    <x v="1"/>
    <n v="0.7"/>
    <n v="100"/>
    <x v="1"/>
    <n v="320"/>
    <n v="0.33"/>
    <x v="0"/>
    <n v="0.19"/>
    <n v="0.85"/>
    <n v="0.55000000000000004"/>
    <n v="0.5"/>
  </r>
  <r>
    <x v="2"/>
    <x v="2"/>
    <x v="2"/>
    <n v="4001"/>
    <n v="0.27518120469882529"/>
    <n v="2"/>
    <n v="120"/>
    <n v="450"/>
    <n v="398485"/>
    <n v="1223002"/>
    <n v="12902030"/>
    <x v="2"/>
    <n v="4"/>
    <n v="160"/>
    <n v="60"/>
    <n v="30"/>
    <n v="100"/>
    <n v="30"/>
    <n v="1"/>
    <n v="2"/>
    <n v="33"/>
    <n v="0.13"/>
    <n v="22"/>
    <x v="2"/>
    <n v="0.55000000000000004"/>
    <n v="92"/>
    <x v="2"/>
    <n v="290"/>
    <n v="0.45"/>
    <x v="1"/>
    <n v="0.15"/>
    <n v="0.7"/>
    <n v="0.4"/>
    <n v="0.6"/>
  </r>
  <r>
    <x v="3"/>
    <x v="3"/>
    <x v="3"/>
    <n v="3900"/>
    <n v="0.23076923076923078"/>
    <n v="11"/>
    <n v="70"/>
    <n v="100"/>
    <n v="150003"/>
    <n v="900540"/>
    <n v="12915020"/>
    <x v="3"/>
    <n v="50"/>
    <n v="30"/>
    <n v="40"/>
    <n v="10"/>
    <n v="150"/>
    <n v="11"/>
    <n v="0"/>
    <n v="2"/>
    <n v="2"/>
    <n v="0.14000000000000001"/>
    <n v="12"/>
    <x v="3"/>
    <n v="0.9"/>
    <n v="76"/>
    <x v="3"/>
    <n v="290"/>
    <n v="0.6"/>
    <x v="2"/>
    <n v="0.12"/>
    <n v="0.74"/>
    <n v="0.8"/>
    <n v="0.9"/>
  </r>
  <r>
    <x v="4"/>
    <x v="4"/>
    <x v="0"/>
    <n v="3810"/>
    <n v="0.29133858267716534"/>
    <n v="14"/>
    <n v="26"/>
    <n v="11"/>
    <n v="433779"/>
    <n v="248723"/>
    <n v="13669607"/>
    <x v="4"/>
    <n v="107"/>
    <n v="158"/>
    <n v="197"/>
    <n v="80"/>
    <n v="167"/>
    <n v="76"/>
    <n v="61"/>
    <n v="58"/>
    <n v="166"/>
    <n v="0.12"/>
    <n v="16"/>
    <x v="4"/>
    <n v="0.6"/>
    <n v="84"/>
    <x v="4"/>
    <n v="281"/>
    <n v="0.6"/>
    <x v="1"/>
    <n v="0.12"/>
    <n v="0.7"/>
    <n v="0.89"/>
    <n v="0.9"/>
  </r>
  <r>
    <x v="5"/>
    <x v="0"/>
    <x v="4"/>
    <n v="3713"/>
    <n v="0.26932399676811203"/>
    <n v="33"/>
    <n v="94"/>
    <n v="75"/>
    <n v="516453"/>
    <n v="207989"/>
    <n v="14397345"/>
    <x v="5"/>
    <n v="232"/>
    <n v="235"/>
    <n v="59"/>
    <n v="80"/>
    <n v="59"/>
    <n v="288"/>
    <n v="153"/>
    <n v="186"/>
    <n v="163"/>
    <n v="0.13"/>
    <n v="9"/>
    <x v="5"/>
    <n v="0.7"/>
    <n v="85"/>
    <x v="5"/>
    <n v="337"/>
    <n v="0.66"/>
    <x v="3"/>
    <n v="0.12"/>
    <n v="0.7"/>
    <n v="0.6"/>
    <n v="0.87"/>
  </r>
  <r>
    <x v="6"/>
    <x v="5"/>
    <x v="5"/>
    <n v="3719"/>
    <n v="0.27130949179887065"/>
    <n v="98"/>
    <n v="66"/>
    <n v="35"/>
    <n v="789394"/>
    <n v="245972"/>
    <n v="10881281"/>
    <x v="6"/>
    <n v="99"/>
    <n v="168"/>
    <n v="30"/>
    <n v="67"/>
    <n v="201"/>
    <n v="180"/>
    <n v="30"/>
    <n v="54"/>
    <n v="154"/>
    <n v="0.19"/>
    <n v="6"/>
    <x v="6"/>
    <n v="0.7"/>
    <n v="114"/>
    <x v="6"/>
    <n v="345"/>
    <n v="0.7"/>
    <x v="0"/>
    <n v="0.12"/>
    <n v="0.8"/>
    <n v="0.5"/>
    <n v="0.87"/>
  </r>
  <r>
    <x v="7"/>
    <x v="6"/>
    <x v="6"/>
    <n v="3603"/>
    <n v="0.27837912850402441"/>
    <n v="80"/>
    <n v="46"/>
    <n v="71"/>
    <n v="407225"/>
    <n v="798950"/>
    <n v="12046951"/>
    <x v="7"/>
    <n v="70"/>
    <n v="165"/>
    <n v="166"/>
    <n v="56"/>
    <n v="213"/>
    <n v="260"/>
    <n v="32"/>
    <n v="278"/>
    <n v="214"/>
    <n v="0.18"/>
    <n v="10"/>
    <x v="0"/>
    <n v="0.4"/>
    <n v="51"/>
    <x v="7"/>
    <n v="308"/>
    <n v="0.71"/>
    <x v="4"/>
    <n v="0.19"/>
    <n v="0.76"/>
    <n v="0.97"/>
    <n v="0.89"/>
  </r>
  <r>
    <x v="8"/>
    <x v="7"/>
    <x v="7"/>
    <n v="3480"/>
    <n v="0.28160919540229884"/>
    <n v="60"/>
    <n v="67"/>
    <n v="55"/>
    <n v="281429"/>
    <n v="450543"/>
    <n v="13066105"/>
    <x v="8"/>
    <n v="174"/>
    <n v="83"/>
    <n v="152"/>
    <n v="243"/>
    <n v="95"/>
    <n v="125"/>
    <n v="236"/>
    <n v="235"/>
    <n v="145"/>
    <n v="0.16"/>
    <n v="9"/>
    <x v="7"/>
    <n v="0.2"/>
    <n v="160"/>
    <x v="8"/>
    <n v="307"/>
    <n v="0.71"/>
    <x v="5"/>
    <n v="0.2"/>
    <n v="0.54"/>
    <n v="0.76"/>
    <n v="0.87"/>
  </r>
  <r>
    <x v="9"/>
    <x v="8"/>
    <x v="8"/>
    <n v="3330"/>
    <n v="0.27927927927927926"/>
    <n v="33"/>
    <n v="27"/>
    <n v="99"/>
    <n v="730379"/>
    <n v="330499"/>
    <n v="14575876"/>
    <x v="9"/>
    <n v="62"/>
    <n v="40"/>
    <n v="274"/>
    <n v="230"/>
    <n v="216"/>
    <n v="237"/>
    <n v="46"/>
    <n v="283"/>
    <n v="159"/>
    <n v="0.15"/>
    <n v="15"/>
    <x v="7"/>
    <n v="0.9"/>
    <n v="106"/>
    <x v="9"/>
    <n v="309"/>
    <n v="0.72"/>
    <x v="3"/>
    <n v="0.04"/>
    <n v="0.77"/>
    <n v="0.54"/>
    <n v="0.54"/>
  </r>
  <r>
    <x v="10"/>
    <x v="9"/>
    <x v="9"/>
    <n v="3170"/>
    <n v="0.27444794952681389"/>
    <n v="28"/>
    <n v="26"/>
    <n v="77"/>
    <n v="117709"/>
    <n v="541242"/>
    <n v="10588823"/>
    <x v="10"/>
    <n v="198"/>
    <n v="287"/>
    <n v="130"/>
    <n v="146"/>
    <n v="269"/>
    <n v="137"/>
    <n v="53"/>
    <n v="269"/>
    <n v="61"/>
    <n v="0.12"/>
    <n v="15"/>
    <x v="7"/>
    <n v="1"/>
    <n v="151"/>
    <x v="10"/>
    <n v="311"/>
    <n v="0.8"/>
    <x v="6"/>
    <n v="0.05"/>
    <n v="0.76"/>
    <n v="0.67"/>
    <n v="0.78"/>
  </r>
  <r>
    <x v="11"/>
    <x v="10"/>
    <x v="10"/>
    <n v="3200"/>
    <n v="0.30937500000000001"/>
    <n v="14"/>
    <n v="87"/>
    <n v="79"/>
    <n v="888950"/>
    <n v="253079"/>
    <n v="14824780"/>
    <x v="11"/>
    <n v="266"/>
    <n v="260"/>
    <n v="72"/>
    <n v="73"/>
    <n v="283"/>
    <n v="217"/>
    <n v="15"/>
    <n v="102"/>
    <n v="100"/>
    <n v="0.16"/>
    <n v="13"/>
    <x v="7"/>
    <n v="1"/>
    <n v="156"/>
    <x v="11"/>
    <n v="291"/>
    <n v="0.8"/>
    <x v="7"/>
    <n v="0.05"/>
    <n v="0.9"/>
    <n v="0.87"/>
    <n v="0.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43B628-BE9C-4324-9F7C-9BE5F29D693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6" firstHeaderRow="1" firstDataRow="1" firstDataCol="1"/>
  <pivotFields count="34">
    <pivotField axis="axisRow" showAll="0">
      <items count="13">
        <item x="0"/>
        <item x="1"/>
        <item x="2"/>
        <item x="3"/>
        <item x="4"/>
        <item x="5"/>
        <item x="6"/>
        <item x="7"/>
        <item x="8"/>
        <item x="9"/>
        <item x="10"/>
        <item x="11"/>
        <item t="default"/>
      </items>
    </pivotField>
    <pivotField dataField="1" numFmtId="3" showAll="0">
      <items count="12">
        <item x="9"/>
        <item x="3"/>
        <item x="8"/>
        <item x="7"/>
        <item x="10"/>
        <item x="0"/>
        <item x="6"/>
        <item x="5"/>
        <item x="1"/>
        <item x="2"/>
        <item x="4"/>
        <item t="default"/>
      </items>
    </pivotField>
    <pivotField numFmtId="3" showAll="0">
      <items count="12">
        <item x="10"/>
        <item x="9"/>
        <item x="8"/>
        <item x="7"/>
        <item x="6"/>
        <item x="0"/>
        <item x="5"/>
        <item x="4"/>
        <item x="1"/>
        <item x="2"/>
        <item x="3"/>
        <item t="default"/>
      </items>
    </pivotField>
    <pivotField numFmtId="3" showAll="0"/>
    <pivotField numFmtId="9"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numFmtId="10" showAll="0"/>
    <pivotField showAll="0"/>
    <pivotField showAll="0"/>
    <pivotField numFmtId="9" showAll="0"/>
    <pivotField showAll="0"/>
    <pivotField showAll="0"/>
    <pivotField showAll="0"/>
    <pivotField numFmtId="9" showAll="0"/>
    <pivotField numFmtId="9" showAll="0"/>
    <pivotField numFmtId="9" showAll="0"/>
    <pivotField numFmtId="9" showAll="0"/>
    <pivotField numFmtId="9" showAll="0"/>
    <pivotField numFmtId="9" showAll="0"/>
  </pivotFields>
  <rowFields count="1">
    <field x="0"/>
  </rowFields>
  <rowItems count="13">
    <i>
      <x/>
    </i>
    <i>
      <x v="1"/>
    </i>
    <i>
      <x v="2"/>
    </i>
    <i>
      <x v="3"/>
    </i>
    <i>
      <x v="4"/>
    </i>
    <i>
      <x v="5"/>
    </i>
    <i>
      <x v="6"/>
    </i>
    <i>
      <x v="7"/>
    </i>
    <i>
      <x v="8"/>
    </i>
    <i>
      <x v="9"/>
    </i>
    <i>
      <x v="10"/>
    </i>
    <i>
      <x v="11"/>
    </i>
    <i t="grand">
      <x/>
    </i>
  </rowItems>
  <colItems count="1">
    <i/>
  </colItems>
  <dataFields count="1">
    <dataField name="Sum of Saudis" fld="1"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5F0C126-CD9B-4815-8875-8C8ECD5ED27B}"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10:I11" firstHeaderRow="1" firstDataRow="1" firstDataCol="0"/>
  <pivotFields count="34">
    <pivotField showAll="0">
      <items count="13">
        <item x="0"/>
        <item x="1"/>
        <item x="2"/>
        <item x="3"/>
        <item x="4"/>
        <item x="5"/>
        <item x="6"/>
        <item x="7"/>
        <item x="8"/>
        <item x="9"/>
        <item x="10"/>
        <item x="11"/>
        <item t="default"/>
      </items>
    </pivotField>
    <pivotField numFmtId="3" showAll="0"/>
    <pivotField numFmtId="3" showAll="0"/>
    <pivotField numFmtId="3" showAll="0"/>
    <pivotField numFmtId="9" showAll="0"/>
    <pivotField showAll="0"/>
    <pivotField showAll="0"/>
    <pivotField showAll="0"/>
    <pivotField numFmtId="164" showAll="0"/>
    <pivotField numFmtId="164" showAll="0"/>
    <pivotField dataField="1" numFmtId="164" showAll="0"/>
    <pivotField showAll="0"/>
    <pivotField showAll="0"/>
    <pivotField showAll="0"/>
    <pivotField showAll="0"/>
    <pivotField showAll="0"/>
    <pivotField showAll="0"/>
    <pivotField showAll="0"/>
    <pivotField showAll="0"/>
    <pivotField showAll="0"/>
    <pivotField showAll="0"/>
    <pivotField numFmtId="10" showAll="0"/>
    <pivotField showAll="0"/>
    <pivotField showAll="0"/>
    <pivotField numFmtId="9" showAll="0"/>
    <pivotField showAll="0"/>
    <pivotField showAll="0"/>
    <pivotField showAll="0"/>
    <pivotField numFmtId="9" showAll="0"/>
    <pivotField numFmtId="9" showAll="0"/>
    <pivotField numFmtId="9" showAll="0"/>
    <pivotField numFmtId="9" showAll="0"/>
    <pivotField numFmtId="9" showAll="0"/>
    <pivotField numFmtId="9" showAll="0"/>
  </pivotFields>
  <rowItems count="1">
    <i/>
  </rowItems>
  <colItems count="1">
    <i/>
  </colItems>
  <dataFields count="1">
    <dataField name="Sum of $ Payroll" fld="10"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45DC636-A834-4793-A0DD-57AC4BBB3C2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pivotFields count="34">
    <pivotField showAll="0">
      <items count="13">
        <item x="0"/>
        <item x="1"/>
        <item x="2"/>
        <item x="3"/>
        <item x="4"/>
        <item x="5"/>
        <item x="6"/>
        <item x="7"/>
        <item x="8"/>
        <item x="9"/>
        <item x="10"/>
        <item x="11"/>
        <item t="default"/>
      </items>
    </pivotField>
    <pivotField numFmtId="3" showAll="0"/>
    <pivotField numFmtId="3" showAll="0"/>
    <pivotField numFmtId="3" showAll="0"/>
    <pivotField dataField="1" numFmtId="9"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numFmtId="10" showAll="0"/>
    <pivotField showAll="0"/>
    <pivotField showAll="0"/>
    <pivotField numFmtId="9" showAll="0"/>
    <pivotField showAll="0"/>
    <pivotField showAll="0"/>
    <pivotField showAll="0"/>
    <pivotField numFmtId="9" showAll="0"/>
    <pivotField numFmtId="9" showAll="0"/>
    <pivotField numFmtId="9" showAll="0"/>
    <pivotField numFmtId="9" showAll="0"/>
    <pivotField numFmtId="9" showAll="0"/>
    <pivotField numFmtId="9" showAll="0"/>
  </pivotFields>
  <rowItems count="1">
    <i/>
  </rowItems>
  <colItems count="1">
    <i/>
  </colItems>
  <dataFields count="1">
    <dataField name="Average of % Saudization" fld="4" subtotal="average"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BEFCB33-3372-4F6A-ADB5-1C82BC0951A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34">
    <pivotField showAll="0">
      <items count="13">
        <item x="0"/>
        <item x="1"/>
        <item x="2"/>
        <item x="3"/>
        <item x="4"/>
        <item x="5"/>
        <item x="6"/>
        <item x="7"/>
        <item x="8"/>
        <item x="9"/>
        <item x="10"/>
        <item x="11"/>
        <item t="default"/>
      </items>
    </pivotField>
    <pivotField numFmtId="3" showAll="0"/>
    <pivotField numFmtId="3" showAll="0"/>
    <pivotField dataField="1" numFmtId="3" showAll="0"/>
    <pivotField numFmtId="9"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numFmtId="10" showAll="0"/>
    <pivotField showAll="0"/>
    <pivotField showAll="0"/>
    <pivotField numFmtId="9" showAll="0"/>
    <pivotField showAll="0"/>
    <pivotField showAll="0"/>
    <pivotField showAll="0"/>
    <pivotField numFmtId="9" showAll="0"/>
    <pivotField numFmtId="9" showAll="0"/>
    <pivotField numFmtId="9" showAll="0"/>
    <pivotField numFmtId="9" showAll="0"/>
    <pivotField numFmtId="9" showAll="0"/>
    <pivotField numFmtId="9" showAll="0"/>
  </pivotFields>
  <rowItems count="1">
    <i/>
  </rowItems>
  <colItems count="1">
    <i/>
  </colItems>
  <dataFields count="1">
    <dataField name="Sum of # Headc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BA24186-8C96-4C73-8140-7A0F5C560501}"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0:E11" firstHeaderRow="1" firstDataRow="1" firstDataCol="0"/>
  <pivotFields count="34">
    <pivotField showAll="0">
      <items count="13">
        <item x="0"/>
        <item x="1"/>
        <item x="2"/>
        <item x="3"/>
        <item x="4"/>
        <item x="5"/>
        <item x="6"/>
        <item x="7"/>
        <item x="8"/>
        <item x="9"/>
        <item x="10"/>
        <item x="11"/>
        <item t="default"/>
      </items>
    </pivotField>
    <pivotField numFmtId="3" showAll="0"/>
    <pivotField numFmtId="3" showAll="0"/>
    <pivotField numFmtId="3" showAll="0"/>
    <pivotField numFmtId="9" showAll="0"/>
    <pivotField showAll="0"/>
    <pivotField showAll="0"/>
    <pivotField showAll="0"/>
    <pivotField numFmtId="164" showAll="0"/>
    <pivotField dataField="1" numFmtId="164" showAll="0"/>
    <pivotField numFmtId="164" showAll="0"/>
    <pivotField showAll="0"/>
    <pivotField showAll="0"/>
    <pivotField showAll="0"/>
    <pivotField showAll="0"/>
    <pivotField showAll="0"/>
    <pivotField showAll="0"/>
    <pivotField showAll="0"/>
    <pivotField showAll="0"/>
    <pivotField showAll="0"/>
    <pivotField showAll="0"/>
    <pivotField numFmtId="10" showAll="0"/>
    <pivotField showAll="0"/>
    <pivotField showAll="0"/>
    <pivotField numFmtId="9" showAll="0"/>
    <pivotField showAll="0"/>
    <pivotField showAll="0"/>
    <pivotField showAll="0"/>
    <pivotField numFmtId="9" showAll="0"/>
    <pivotField numFmtId="9" showAll="0"/>
    <pivotField numFmtId="9" showAll="0"/>
    <pivotField numFmtId="9" showAll="0"/>
    <pivotField numFmtId="9" showAll="0"/>
    <pivotField numFmtId="9" showAll="0"/>
  </pivotFields>
  <rowItems count="1">
    <i/>
  </rowItems>
  <colItems count="1">
    <i/>
  </colItems>
  <dataFields count="1">
    <dataField name="Sum of $ Overtime" fld="9"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80F6036-9C95-4694-A6BA-D67A9BB9461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A11" firstHeaderRow="1" firstDataRow="1" firstDataCol="0"/>
  <pivotFields count="34">
    <pivotField showAll="0">
      <items count="13">
        <item x="0"/>
        <item x="1"/>
        <item x="2"/>
        <item x="3"/>
        <item x="4"/>
        <item x="5"/>
        <item x="6"/>
        <item x="7"/>
        <item x="8"/>
        <item x="9"/>
        <item x="10"/>
        <item x="11"/>
        <item t="default"/>
      </items>
    </pivotField>
    <pivotField numFmtId="3" showAll="0"/>
    <pivotField numFmtId="3" showAll="0"/>
    <pivotField numFmtId="3" showAll="0"/>
    <pivotField numFmtId="9" showAll="0"/>
    <pivotField showAll="0"/>
    <pivotField showAll="0"/>
    <pivotField showAll="0"/>
    <pivotField dataField="1" numFmtId="164"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numFmtId="10" showAll="0"/>
    <pivotField showAll="0"/>
    <pivotField showAll="0"/>
    <pivotField numFmtId="9" showAll="0"/>
    <pivotField showAll="0"/>
    <pivotField showAll="0"/>
    <pivotField showAll="0"/>
    <pivotField numFmtId="9" showAll="0"/>
    <pivotField numFmtId="9" showAll="0"/>
    <pivotField numFmtId="9" showAll="0"/>
    <pivotField numFmtId="9" showAll="0"/>
    <pivotField numFmtId="9" showAll="0"/>
    <pivotField numFmtId="9" showAll="0"/>
  </pivotFields>
  <rowItems count="1">
    <i/>
  </rowItems>
  <colItems count="1">
    <i/>
  </colItems>
  <dataFields count="1">
    <dataField name="Sum of $ Incentive" fld="8"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F48E9E1-4773-4A2B-833E-325E242C6974}"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H6:H7" firstHeaderRow="1" firstDataRow="1" firstDataCol="0"/>
  <pivotFields count="34">
    <pivotField showAll="0">
      <items count="13">
        <item x="0"/>
        <item x="1"/>
        <item x="2"/>
        <item x="3"/>
        <item x="4"/>
        <item x="5"/>
        <item x="6"/>
        <item x="7"/>
        <item x="8"/>
        <item x="9"/>
        <item x="10"/>
        <item x="11"/>
        <item t="default"/>
      </items>
    </pivotField>
    <pivotField numFmtId="3" showAll="0"/>
    <pivotField numFmtId="3" showAll="0"/>
    <pivotField numFmtId="3" showAll="0"/>
    <pivotField numFmtId="9" showAll="0"/>
    <pivotField showAll="0"/>
    <pivotField showAll="0"/>
    <pivotField showAll="0"/>
    <pivotField numFmtId="164" showAll="0"/>
    <pivotField numFmtId="164" showAll="0"/>
    <pivotField numFmtId="164" showAll="0"/>
    <pivotField showAll="0">
      <items count="13">
        <item x="1"/>
        <item x="0"/>
        <item x="2"/>
        <item x="3"/>
        <item x="7"/>
        <item x="9"/>
        <item x="5"/>
        <item x="8"/>
        <item x="11"/>
        <item x="4"/>
        <item x="6"/>
        <item x="10"/>
        <item t="default"/>
      </items>
    </pivotField>
    <pivotField showAll="0"/>
    <pivotField dataField="1" showAll="0"/>
    <pivotField showAll="0"/>
    <pivotField showAll="0"/>
    <pivotField showAll="0"/>
    <pivotField showAll="0"/>
    <pivotField showAll="0"/>
    <pivotField showAll="0"/>
    <pivotField showAll="0"/>
    <pivotField numFmtId="10" showAll="0"/>
    <pivotField showAll="0"/>
    <pivotField showAll="0"/>
    <pivotField numFmtId="9" showAll="0"/>
    <pivotField showAll="0"/>
    <pivotField showAll="0"/>
    <pivotField showAll="0"/>
    <pivotField numFmtId="9" showAll="0"/>
    <pivotField numFmtId="9" showAll="0"/>
    <pivotField numFmtId="9" showAll="0"/>
    <pivotField numFmtId="9" showAll="0"/>
    <pivotField numFmtId="9" showAll="0"/>
    <pivotField numFmtId="9" showAll="0"/>
  </pivotFields>
  <rowItems count="1">
    <i/>
  </rowItems>
  <colItems count="1">
    <i/>
  </colItems>
  <dataFields count="1">
    <dataField name="Sum of % Outsource"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E7004F5-389A-4569-A51A-B689B3C3A43A}"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8:C31" firstHeaderRow="0" firstDataRow="1" firstDataCol="1"/>
  <pivotFields count="34">
    <pivotField axis="axisRow" showAll="0">
      <items count="13">
        <item x="0"/>
        <item x="1"/>
        <item x="2"/>
        <item x="3"/>
        <item x="4"/>
        <item x="5"/>
        <item x="6"/>
        <item x="7"/>
        <item x="8"/>
        <item x="9"/>
        <item x="10"/>
        <item x="11"/>
        <item t="default"/>
      </items>
    </pivotField>
    <pivotField numFmtId="3" showAll="0"/>
    <pivotField numFmtId="3" showAll="0"/>
    <pivotField numFmtId="3" showAll="0"/>
    <pivotField numFmtId="9" showAll="0"/>
    <pivotField showAll="0"/>
    <pivotField showAll="0"/>
    <pivotField showAll="0"/>
    <pivotField numFmtId="164" showAll="0"/>
    <pivotField numFmtId="164" showAll="0"/>
    <pivotField numFmtId="164" showAll="0"/>
    <pivotField showAll="0">
      <items count="13">
        <item x="1"/>
        <item x="0"/>
        <item x="2"/>
        <item x="3"/>
        <item x="7"/>
        <item x="9"/>
        <item x="5"/>
        <item x="8"/>
        <item x="11"/>
        <item x="4"/>
        <item x="6"/>
        <item x="10"/>
        <item t="default"/>
      </items>
    </pivotField>
    <pivotField showAll="0"/>
    <pivotField showAll="0"/>
    <pivotField showAll="0"/>
    <pivotField showAll="0"/>
    <pivotField showAll="0"/>
    <pivotField showAll="0"/>
    <pivotField showAll="0"/>
    <pivotField showAll="0"/>
    <pivotField showAll="0"/>
    <pivotField numFmtId="10" showAll="0"/>
    <pivotField showAll="0"/>
    <pivotField showAll="0"/>
    <pivotField numFmtId="9" showAll="0"/>
    <pivotField showAll="0"/>
    <pivotField showAll="0"/>
    <pivotField showAll="0"/>
    <pivotField numFmtId="9" showAll="0"/>
    <pivotField dataField="1" numFmtId="9" showAll="0">
      <items count="9">
        <item x="4"/>
        <item x="5"/>
        <item x="0"/>
        <item x="2"/>
        <item x="1"/>
        <item x="3"/>
        <item x="6"/>
        <item x="7"/>
        <item t="default"/>
      </items>
    </pivotField>
    <pivotField dataField="1" numFmtId="9" showAll="0"/>
    <pivotField numFmtId="9" showAll="0"/>
    <pivotField numFmtId="9" showAll="0"/>
    <pivotField numFmtId="9"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 Low Performers" fld="30" showDataAs="percentOfCol" baseField="0" baseItem="0" numFmtId="9"/>
    <dataField name="Sum of % High Performers" fld="29" baseField="0" baseItem="0" numFmtId="9"/>
  </dataFields>
  <chartFormats count="2">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57AE1F7-7F68-4F4E-9A36-5C50C6D5BBA5}"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16" firstHeaderRow="0" firstDataRow="1" firstDataCol="1"/>
  <pivotFields count="34">
    <pivotField axis="axisRow" showAll="0">
      <items count="13">
        <item x="0"/>
        <item x="1"/>
        <item x="2"/>
        <item x="3"/>
        <item x="4"/>
        <item x="5"/>
        <item x="6"/>
        <item x="7"/>
        <item x="8"/>
        <item x="9"/>
        <item x="10"/>
        <item x="11"/>
        <item t="default"/>
      </items>
    </pivotField>
    <pivotField numFmtId="3" showAll="0"/>
    <pivotField numFmtId="3" showAll="0"/>
    <pivotField numFmtId="3" showAll="0"/>
    <pivotField numFmtId="9" showAll="0"/>
    <pivotField showAll="0"/>
    <pivotField showAll="0"/>
    <pivotField showAll="0"/>
    <pivotField numFmtId="164" showAll="0"/>
    <pivotField numFmtId="164" showAll="0"/>
    <pivotField numFmtId="164" showAll="0"/>
    <pivotField dataField="1" showAll="0">
      <items count="13">
        <item x="1"/>
        <item x="0"/>
        <item x="2"/>
        <item x="3"/>
        <item x="7"/>
        <item x="9"/>
        <item x="5"/>
        <item x="8"/>
        <item x="11"/>
        <item x="4"/>
        <item x="6"/>
        <item x="10"/>
        <item t="default"/>
      </items>
    </pivotField>
    <pivotField dataField="1" showAll="0"/>
    <pivotField showAll="0"/>
    <pivotField showAll="0"/>
    <pivotField showAll="0"/>
    <pivotField showAll="0"/>
    <pivotField showAll="0"/>
    <pivotField showAll="0"/>
    <pivotField showAll="0"/>
    <pivotField showAll="0"/>
    <pivotField numFmtId="10" showAll="0"/>
    <pivotField showAll="0"/>
    <pivotField showAll="0"/>
    <pivotField numFmtId="9" showAll="0"/>
    <pivotField showAll="0"/>
    <pivotField showAll="0"/>
    <pivotField showAll="0"/>
    <pivotField numFmtId="9" showAll="0"/>
    <pivotField numFmtId="9" showAll="0"/>
    <pivotField numFmtId="9" showAll="0"/>
    <pivotField numFmtId="9" showAll="0"/>
    <pivotField numFmtId="9" showAll="0"/>
    <pivotField numFmtId="9"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 Leavers" fld="11" baseField="0" baseItem="0"/>
    <dataField name="Sum of # Joiners" fld="12" baseField="0" baseItem="0"/>
  </dataFields>
  <chartFormats count="2">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3B40ABFB-A881-4526-A97C-7A80EDBAD721}"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H17:H18" firstHeaderRow="1" firstDataRow="1" firstDataCol="0"/>
  <pivotFields count="34">
    <pivotField showAll="0">
      <items count="13">
        <item x="0"/>
        <item x="1"/>
        <item x="2"/>
        <item x="3"/>
        <item x="4"/>
        <item x="5"/>
        <item x="6"/>
        <item x="7"/>
        <item x="8"/>
        <item x="9"/>
        <item x="10"/>
        <item x="11"/>
        <item t="default"/>
      </items>
    </pivotField>
    <pivotField numFmtId="3" showAll="0"/>
    <pivotField numFmtId="3" showAll="0"/>
    <pivotField numFmtId="3" showAll="0"/>
    <pivotField numFmtId="9" showAll="0"/>
    <pivotField showAll="0"/>
    <pivotField showAll="0"/>
    <pivotField showAll="0"/>
    <pivotField numFmtId="164" showAll="0"/>
    <pivotField numFmtId="164" showAll="0"/>
    <pivotField numFmtId="164" showAll="0"/>
    <pivotField showAll="0">
      <items count="13">
        <item x="1"/>
        <item x="0"/>
        <item x="2"/>
        <item x="3"/>
        <item x="7"/>
        <item x="9"/>
        <item x="5"/>
        <item x="8"/>
        <item x="11"/>
        <item x="4"/>
        <item x="6"/>
        <item x="10"/>
        <item t="default"/>
      </items>
    </pivotField>
    <pivotField showAll="0"/>
    <pivotField showAll="0"/>
    <pivotField dataField="1" showAll="0"/>
    <pivotField showAll="0"/>
    <pivotField showAll="0"/>
    <pivotField showAll="0"/>
    <pivotField showAll="0"/>
    <pivotField showAll="0"/>
    <pivotField showAll="0"/>
    <pivotField numFmtId="10" showAll="0"/>
    <pivotField showAll="0"/>
    <pivotField showAll="0"/>
    <pivotField numFmtId="9" showAll="0"/>
    <pivotField showAll="0"/>
    <pivotField showAll="0"/>
    <pivotField showAll="0"/>
    <pivotField numFmtId="9" showAll="0"/>
    <pivotField numFmtId="9" showAll="0"/>
    <pivotField numFmtId="9" showAll="0"/>
    <pivotField numFmtId="9" showAll="0"/>
    <pivotField numFmtId="9" showAll="0"/>
    <pivotField numFmtId="9" showAll="0"/>
  </pivotFields>
  <rowItems count="1">
    <i/>
  </rowItems>
  <colItems count="1">
    <i/>
  </colItems>
  <dataFields count="1">
    <dataField name="Sum of # Part Timers"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87B829AC-9C0D-475E-A052-9C67A9E0A38D}"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I1:J14" firstHeaderRow="1" firstDataRow="1" firstDataCol="1"/>
  <pivotFields count="34">
    <pivotField axis="axisRow" showAll="0">
      <items count="13">
        <item x="0"/>
        <item x="1"/>
        <item x="2"/>
        <item x="3"/>
        <item x="4"/>
        <item x="5"/>
        <item x="6"/>
        <item x="7"/>
        <item x="8"/>
        <item x="9"/>
        <item x="10"/>
        <item x="11"/>
        <item t="default"/>
      </items>
    </pivotField>
    <pivotField numFmtId="3" showAll="0"/>
    <pivotField numFmtId="3" showAll="0"/>
    <pivotField numFmtId="3" showAll="0"/>
    <pivotField numFmtId="9"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numFmtId="10" showAll="0"/>
    <pivotField showAll="0"/>
    <pivotField showAll="0">
      <items count="9">
        <item x="7"/>
        <item x="0"/>
        <item x="1"/>
        <item x="2"/>
        <item x="6"/>
        <item x="5"/>
        <item x="3"/>
        <item x="4"/>
        <item t="default"/>
      </items>
    </pivotField>
    <pivotField dataField="1" numFmtId="9" showAll="0"/>
    <pivotField showAll="0"/>
    <pivotField showAll="0"/>
    <pivotField showAll="0"/>
    <pivotField numFmtId="9" showAll="0"/>
    <pivotField numFmtId="9" showAll="0"/>
    <pivotField numFmtId="9" showAll="0"/>
    <pivotField numFmtId="9" showAll="0"/>
    <pivotField numFmtId="9" showAll="0"/>
    <pivotField numFmtId="9" showAll="0"/>
  </pivotFields>
  <rowFields count="1">
    <field x="0"/>
  </rowFields>
  <rowItems count="13">
    <i>
      <x/>
    </i>
    <i>
      <x v="1"/>
    </i>
    <i>
      <x v="2"/>
    </i>
    <i>
      <x v="3"/>
    </i>
    <i>
      <x v="4"/>
    </i>
    <i>
      <x v="5"/>
    </i>
    <i>
      <x v="6"/>
    </i>
    <i>
      <x v="7"/>
    </i>
    <i>
      <x v="8"/>
    </i>
    <i>
      <x v="9"/>
    </i>
    <i>
      <x v="10"/>
    </i>
    <i>
      <x v="11"/>
    </i>
    <i t="grand">
      <x/>
    </i>
  </rowItems>
  <colItems count="1">
    <i/>
  </colItems>
  <dataFields count="1">
    <dataField name="Sum of % Hr Expenses Vs Budget" fld="24" baseField="0" baseItem="0" numFmtId="9"/>
  </dataFields>
  <formats count="2">
    <format dxfId="71">
      <pivotArea dataOnly="0" labelOnly="1" outline="0" axis="axisValues" fieldPosition="0"/>
    </format>
    <format dxfId="70">
      <pivotArea outline="0" fieldPosition="0">
        <references count="1">
          <reference field="4294967294" count="1">
            <x v="0"/>
          </reference>
        </references>
      </pivotArea>
    </format>
  </formats>
  <chartFormats count="3">
    <chartFormat chart="3" format="1"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B54C1B-8E20-481B-8C6B-3C992D2CA39C}"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L19:N32" firstHeaderRow="0" firstDataRow="1" firstDataCol="1"/>
  <pivotFields count="34">
    <pivotField axis="axisRow" showAll="0">
      <items count="13">
        <item x="0"/>
        <item x="1"/>
        <item x="2"/>
        <item x="3"/>
        <item x="4"/>
        <item x="5"/>
        <item x="6"/>
        <item x="7"/>
        <item x="8"/>
        <item x="9"/>
        <item x="10"/>
        <item x="11"/>
        <item t="default"/>
      </items>
    </pivotField>
    <pivotField dataField="1" numFmtId="3" showAll="0">
      <items count="12">
        <item x="9"/>
        <item x="3"/>
        <item x="8"/>
        <item x="7"/>
        <item x="10"/>
        <item x="0"/>
        <item x="6"/>
        <item x="5"/>
        <item x="1"/>
        <item x="2"/>
        <item x="4"/>
        <item t="default"/>
      </items>
    </pivotField>
    <pivotField dataField="1" numFmtId="3" showAll="0">
      <items count="12">
        <item x="10"/>
        <item x="9"/>
        <item x="8"/>
        <item x="7"/>
        <item x="6"/>
        <item x="0"/>
        <item x="5"/>
        <item x="4"/>
        <item x="1"/>
        <item x="2"/>
        <item x="3"/>
        <item t="default"/>
      </items>
    </pivotField>
    <pivotField numFmtId="3" showAll="0"/>
    <pivotField numFmtId="9"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numFmtId="10" showAll="0"/>
    <pivotField showAll="0"/>
    <pivotField showAll="0">
      <items count="9">
        <item x="7"/>
        <item x="0"/>
        <item x="1"/>
        <item x="2"/>
        <item x="6"/>
        <item x="5"/>
        <item x="3"/>
        <item x="4"/>
        <item t="default"/>
      </items>
    </pivotField>
    <pivotField numFmtId="9" showAll="0"/>
    <pivotField showAll="0"/>
    <pivotField showAll="0"/>
    <pivotField showAll="0"/>
    <pivotField numFmtId="9" showAll="0"/>
    <pivotField numFmtId="9" showAll="0"/>
    <pivotField numFmtId="9" showAll="0"/>
    <pivotField numFmtId="9" showAll="0"/>
    <pivotField numFmtId="9" showAll="0"/>
    <pivotField numFmtId="9"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Saudis" fld="1" baseField="0" baseItem="0"/>
    <dataField name="Sum of Non-Sauids" fld="2" baseField="0" baseItem="0"/>
  </dataFields>
  <chartFormats count="3">
    <chartFormat chart="3"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693A9857-208C-45A7-83F8-23604F4278B6}"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4:B27" firstHeaderRow="1" firstDataRow="1" firstDataCol="1"/>
  <pivotFields count="34">
    <pivotField axis="axisRow" showAll="0">
      <items count="13">
        <item x="0"/>
        <item x="1"/>
        <item x="2"/>
        <item x="3"/>
        <item x="4"/>
        <item x="5"/>
        <item x="6"/>
        <item x="7"/>
        <item x="8"/>
        <item x="9"/>
        <item x="10"/>
        <item x="11"/>
        <item t="default"/>
      </items>
    </pivotField>
    <pivotField numFmtId="3" showAll="0"/>
    <pivotField numFmtId="3" showAll="0"/>
    <pivotField numFmtId="3" showAll="0"/>
    <pivotField numFmtId="9"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dataField="1" numFmtId="10" showAll="0"/>
    <pivotField showAll="0"/>
    <pivotField showAll="0">
      <items count="9">
        <item x="7"/>
        <item x="0"/>
        <item x="1"/>
        <item x="2"/>
        <item x="6"/>
        <item x="5"/>
        <item x="3"/>
        <item x="4"/>
        <item t="default"/>
      </items>
    </pivotField>
    <pivotField numFmtId="9" showAll="0"/>
    <pivotField showAll="0"/>
    <pivotField showAll="0"/>
    <pivotField showAll="0"/>
    <pivotField numFmtId="9" showAll="0"/>
    <pivotField numFmtId="9" showAll="0"/>
    <pivotField numFmtId="9" showAll="0"/>
    <pivotField numFmtId="9" showAll="0"/>
    <pivotField numFmtId="9" showAll="0"/>
    <pivotField numFmtId="9" showAll="0"/>
  </pivotFields>
  <rowFields count="1">
    <field x="0"/>
  </rowFields>
  <rowItems count="13">
    <i>
      <x/>
    </i>
    <i>
      <x v="1"/>
    </i>
    <i>
      <x v="2"/>
    </i>
    <i>
      <x v="3"/>
    </i>
    <i>
      <x v="4"/>
    </i>
    <i>
      <x v="5"/>
    </i>
    <i>
      <x v="6"/>
    </i>
    <i>
      <x v="7"/>
    </i>
    <i>
      <x v="8"/>
    </i>
    <i>
      <x v="9"/>
    </i>
    <i>
      <x v="10"/>
    </i>
    <i>
      <x v="11"/>
    </i>
    <i t="grand">
      <x/>
    </i>
  </rowItems>
  <colItems count="1">
    <i/>
  </colItems>
  <dataFields count="1">
    <dataField name="Sum of % Turnover" fld="21" baseField="0" baseItem="0" numFmtId="9"/>
  </dataFields>
  <formats count="2">
    <format dxfId="73">
      <pivotArea dataOnly="0" labelOnly="1" outline="0" axis="axisValues" fieldPosition="0"/>
    </format>
    <format dxfId="72">
      <pivotArea outline="0" fieldPosition="0">
        <references count="1">
          <reference field="4294967294" count="1">
            <x v="0"/>
          </reference>
        </references>
      </pivotArea>
    </format>
  </format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81ED001C-6D7B-41E7-ACC9-152C5897AF63}"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B11" firstHeaderRow="1" firstDataRow="1" firstDataCol="1"/>
  <pivotFields count="34">
    <pivotField showAll="0">
      <items count="13">
        <item x="0"/>
        <item x="1"/>
        <item x="2"/>
        <item x="3"/>
        <item x="4"/>
        <item x="5"/>
        <item x="6"/>
        <item x="7"/>
        <item x="8"/>
        <item x="9"/>
        <item x="10"/>
        <item x="11"/>
        <item t="default"/>
      </items>
    </pivotField>
    <pivotField numFmtId="3" showAll="0"/>
    <pivotField numFmtId="3" showAll="0"/>
    <pivotField numFmtId="3" showAll="0"/>
    <pivotField numFmtId="9" showAll="0"/>
    <pivotField showAll="0"/>
    <pivotField showAll="0"/>
    <pivotField showAll="0"/>
    <pivotField numFmtId="164" showAll="0"/>
    <pivotField numFmtId="164" showAll="0"/>
    <pivotField numFmtId="164" showAll="0"/>
    <pivotField dataField="1" showAll="0"/>
    <pivotField showAll="0"/>
    <pivotField showAll="0"/>
    <pivotField showAll="0"/>
    <pivotField showAll="0"/>
    <pivotField showAll="0"/>
    <pivotField showAll="0"/>
    <pivotField showAll="0"/>
    <pivotField showAll="0"/>
    <pivotField showAll="0"/>
    <pivotField numFmtId="10" showAll="0"/>
    <pivotField showAll="0"/>
    <pivotField axis="axisRow" showAll="0">
      <items count="9">
        <item x="7"/>
        <item x="0"/>
        <item x="1"/>
        <item x="2"/>
        <item x="6"/>
        <item x="5"/>
        <item x="3"/>
        <item x="4"/>
        <item t="default"/>
      </items>
    </pivotField>
    <pivotField numFmtId="9" showAll="0"/>
    <pivotField showAll="0"/>
    <pivotField showAll="0"/>
    <pivotField showAll="0"/>
    <pivotField numFmtId="9" showAll="0"/>
    <pivotField numFmtId="9" showAll="0"/>
    <pivotField numFmtId="9" showAll="0"/>
    <pivotField numFmtId="9" showAll="0"/>
    <pivotField numFmtId="9" showAll="0"/>
    <pivotField numFmtId="9" showAll="0"/>
  </pivotFields>
  <rowFields count="1">
    <field x="23"/>
  </rowFields>
  <rowItems count="9">
    <i>
      <x/>
    </i>
    <i>
      <x v="1"/>
    </i>
    <i>
      <x v="2"/>
    </i>
    <i>
      <x v="3"/>
    </i>
    <i>
      <x v="4"/>
    </i>
    <i>
      <x v="5"/>
    </i>
    <i>
      <x v="6"/>
    </i>
    <i>
      <x v="7"/>
    </i>
    <i t="grand">
      <x/>
    </i>
  </rowItems>
  <colItems count="1">
    <i/>
  </colItems>
  <dataFields count="1">
    <dataField name="Sum of # Leavers" fld="11" baseField="23"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FE8A3F55-0FAE-4A18-8A68-9C43935BC38D}"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I16:K29" firstHeaderRow="0" firstDataRow="1" firstDataCol="1"/>
  <pivotFields count="34">
    <pivotField showAll="0">
      <items count="13">
        <item x="0"/>
        <item x="1"/>
        <item x="2"/>
        <item x="3"/>
        <item x="4"/>
        <item x="5"/>
        <item x="6"/>
        <item x="7"/>
        <item x="8"/>
        <item x="9"/>
        <item x="10"/>
        <item x="11"/>
        <item t="default"/>
      </items>
    </pivotField>
    <pivotField numFmtId="3" showAll="0"/>
    <pivotField numFmtId="3" showAll="0"/>
    <pivotField numFmtId="3" showAll="0"/>
    <pivotField numFmtId="9"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numFmtId="10" showAll="0"/>
    <pivotField showAll="0"/>
    <pivotField showAll="0">
      <items count="9">
        <item x="7"/>
        <item x="0"/>
        <item x="1"/>
        <item x="2"/>
        <item x="6"/>
        <item x="5"/>
        <item x="3"/>
        <item x="4"/>
        <item t="default"/>
      </items>
    </pivotField>
    <pivotField numFmtId="9" showAll="0"/>
    <pivotField showAll="0"/>
    <pivotField axis="axisRow" showAll="0">
      <items count="13">
        <item x="3"/>
        <item x="2"/>
        <item x="1"/>
        <item x="0"/>
        <item x="9"/>
        <item x="5"/>
        <item x="6"/>
        <item x="4"/>
        <item x="10"/>
        <item x="8"/>
        <item x="7"/>
        <item x="11"/>
        <item t="default"/>
      </items>
    </pivotField>
    <pivotField showAll="0"/>
    <pivotField numFmtId="9" showAll="0"/>
    <pivotField numFmtId="9" showAll="0"/>
    <pivotField numFmtId="9" showAll="0"/>
    <pivotField dataField="1" numFmtId="9" showAll="0"/>
    <pivotField dataField="1" numFmtId="9" showAll="0"/>
    <pivotField numFmtId="9" showAll="0"/>
  </pivotFields>
  <rowFields count="1">
    <field x="26"/>
  </rowFields>
  <rowItems count="13">
    <i>
      <x/>
    </i>
    <i>
      <x v="1"/>
    </i>
    <i>
      <x v="2"/>
    </i>
    <i>
      <x v="3"/>
    </i>
    <i>
      <x v="4"/>
    </i>
    <i>
      <x v="5"/>
    </i>
    <i>
      <x v="6"/>
    </i>
    <i>
      <x v="7"/>
    </i>
    <i>
      <x v="8"/>
    </i>
    <i>
      <x v="9"/>
    </i>
    <i>
      <x v="10"/>
    </i>
    <i>
      <x v="11"/>
    </i>
    <i t="grand">
      <x/>
    </i>
  </rowItems>
  <colFields count="1">
    <field x="-2"/>
  </colFields>
  <colItems count="2">
    <i>
      <x/>
    </i>
    <i i="1">
      <x v="1"/>
    </i>
  </colItems>
  <dataFields count="2">
    <dataField name="Sum of % Training Effectiveness Index" fld="31" baseField="0" baseItem="0" numFmtId="9"/>
    <dataField name="Sum of % Training Plan Achieved'" fld="32" baseField="0" baseItem="0" numFmtId="9"/>
  </dataFields>
  <formats count="3">
    <format dxfId="76">
      <pivotArea dataOnly="0" labelOnly="1" outline="0" axis="axisValues" fieldPosition="0"/>
    </format>
    <format dxfId="75">
      <pivotArea outline="0" fieldPosition="0">
        <references count="1">
          <reference field="4294967294" count="1">
            <x v="0"/>
          </reference>
        </references>
      </pivotArea>
    </format>
    <format dxfId="74">
      <pivotArea outline="0" fieldPosition="0">
        <references count="1">
          <reference field="4294967294" count="1">
            <x v="1"/>
          </reference>
        </references>
      </pivotArea>
    </format>
  </formats>
  <chartFormats count="2">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4D1597-9640-4FF6-A524-47EB460419E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20:J33" firstHeaderRow="0" firstDataRow="1" firstDataCol="1"/>
  <pivotFields count="34">
    <pivotField axis="axisRow" showAll="0">
      <items count="13">
        <item x="0"/>
        <item x="1"/>
        <item x="2"/>
        <item x="3"/>
        <item x="4"/>
        <item x="5"/>
        <item x="6"/>
        <item x="7"/>
        <item x="8"/>
        <item x="9"/>
        <item x="10"/>
        <item x="11"/>
        <item t="default"/>
      </items>
    </pivotField>
    <pivotField dataField="1" numFmtId="3" showAll="0">
      <items count="12">
        <item x="9"/>
        <item x="3"/>
        <item x="8"/>
        <item x="7"/>
        <item x="10"/>
        <item x="0"/>
        <item x="6"/>
        <item x="5"/>
        <item x="1"/>
        <item x="2"/>
        <item x="4"/>
        <item t="default"/>
      </items>
    </pivotField>
    <pivotField dataField="1" numFmtId="3" showAll="0">
      <items count="12">
        <item x="10"/>
        <item x="9"/>
        <item x="8"/>
        <item x="7"/>
        <item x="6"/>
        <item x="0"/>
        <item x="5"/>
        <item x="4"/>
        <item x="1"/>
        <item x="2"/>
        <item x="3"/>
        <item t="default"/>
      </items>
    </pivotField>
    <pivotField numFmtId="3" showAll="0"/>
    <pivotField numFmtId="9"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numFmtId="10" showAll="0"/>
    <pivotField showAll="0"/>
    <pivotField showAll="0"/>
    <pivotField numFmtId="9" showAll="0"/>
    <pivotField showAll="0"/>
    <pivotField showAll="0"/>
    <pivotField showAll="0"/>
    <pivotField numFmtId="9" showAll="0"/>
    <pivotField numFmtId="9" showAll="0"/>
    <pivotField numFmtId="9" showAll="0"/>
    <pivotField numFmtId="9" showAll="0"/>
    <pivotField numFmtId="9" showAll="0"/>
    <pivotField numFmtId="9"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Saudis" fld="1" showDataAs="percentOfCol" baseField="0" baseItem="0" numFmtId="9"/>
    <dataField name="Sum of Non-Sauids" fld="2" showDataAs="percentOfCol" baseField="0" baseItem="0" numFmtId="10"/>
  </dataFields>
  <chartFormats count="1">
    <chartFormat chart="3" format="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3897FF-7124-4F37-89BF-F5455C33FE5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D18:E19" firstHeaderRow="0" firstDataRow="1" firstDataCol="0"/>
  <pivotFields count="34">
    <pivotField showAll="0">
      <items count="13">
        <item x="0"/>
        <item x="1"/>
        <item x="2"/>
        <item x="3"/>
        <item x="4"/>
        <item x="5"/>
        <item x="6"/>
        <item x="7"/>
        <item x="8"/>
        <item x="9"/>
        <item x="10"/>
        <item x="11"/>
        <item t="default"/>
      </items>
    </pivotField>
    <pivotField dataField="1" numFmtId="3" showAll="0">
      <items count="12">
        <item x="9"/>
        <item x="3"/>
        <item x="8"/>
        <item x="7"/>
        <item x="10"/>
        <item x="0"/>
        <item x="6"/>
        <item x="5"/>
        <item x="1"/>
        <item x="2"/>
        <item x="4"/>
        <item t="default"/>
      </items>
    </pivotField>
    <pivotField dataField="1" numFmtId="3" showAll="0">
      <items count="12">
        <item x="10"/>
        <item x="9"/>
        <item x="8"/>
        <item x="7"/>
        <item x="6"/>
        <item x="0"/>
        <item x="5"/>
        <item x="4"/>
        <item x="1"/>
        <item x="2"/>
        <item x="3"/>
        <item t="default"/>
      </items>
    </pivotField>
    <pivotField numFmtId="3" showAll="0"/>
    <pivotField numFmtId="9"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numFmtId="10" showAll="0"/>
    <pivotField showAll="0"/>
    <pivotField showAll="0"/>
    <pivotField numFmtId="9" showAll="0"/>
    <pivotField showAll="0"/>
    <pivotField showAll="0"/>
    <pivotField showAll="0"/>
    <pivotField numFmtId="9" showAll="0"/>
    <pivotField numFmtId="9" showAll="0"/>
    <pivotField numFmtId="9" showAll="0"/>
    <pivotField numFmtId="9" showAll="0"/>
    <pivotField numFmtId="9" showAll="0"/>
    <pivotField numFmtId="9" showAll="0"/>
  </pivotFields>
  <rowItems count="1">
    <i/>
  </rowItems>
  <colFields count="1">
    <field x="-2"/>
  </colFields>
  <colItems count="2">
    <i>
      <x/>
    </i>
    <i i="1">
      <x v="1"/>
    </i>
  </colItems>
  <dataFields count="2">
    <dataField name="Sum of Saudis" fld="1" baseField="0" baseItem="0"/>
    <dataField name="Sum of Non-Sauids" fld="2" baseField="0" baseItem="0"/>
  </dataFields>
  <chartFormats count="2">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44F5A46-16B1-4091-A829-05D95C99BDF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3:J16" firstHeaderRow="1" firstDataRow="1" firstDataCol="1"/>
  <pivotFields count="34">
    <pivotField axis="axisRow" showAll="0">
      <items count="13">
        <item x="0"/>
        <item x="1"/>
        <item x="2"/>
        <item x="3"/>
        <item x="4"/>
        <item x="5"/>
        <item x="6"/>
        <item x="7"/>
        <item x="8"/>
        <item x="9"/>
        <item x="10"/>
        <item x="11"/>
        <item t="default"/>
      </items>
    </pivotField>
    <pivotField numFmtId="3" showAll="0">
      <items count="12">
        <item x="9"/>
        <item x="3"/>
        <item x="8"/>
        <item x="7"/>
        <item x="10"/>
        <item x="0"/>
        <item x="6"/>
        <item x="5"/>
        <item x="1"/>
        <item x="2"/>
        <item x="4"/>
        <item t="default"/>
      </items>
    </pivotField>
    <pivotField dataField="1" numFmtId="3" showAll="0">
      <items count="12">
        <item x="10"/>
        <item x="9"/>
        <item x="8"/>
        <item x="7"/>
        <item x="6"/>
        <item x="0"/>
        <item x="5"/>
        <item x="4"/>
        <item x="1"/>
        <item x="2"/>
        <item x="3"/>
        <item t="default"/>
      </items>
    </pivotField>
    <pivotField numFmtId="3" showAll="0"/>
    <pivotField numFmtId="9"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numFmtId="10" showAll="0"/>
    <pivotField showAll="0"/>
    <pivotField showAll="0"/>
    <pivotField numFmtId="9" showAll="0"/>
    <pivotField showAll="0"/>
    <pivotField showAll="0"/>
    <pivotField showAll="0"/>
    <pivotField numFmtId="9" showAll="0"/>
    <pivotField numFmtId="9" showAll="0"/>
    <pivotField numFmtId="9" showAll="0"/>
    <pivotField numFmtId="9" showAll="0"/>
    <pivotField numFmtId="9" showAll="0"/>
    <pivotField numFmtId="9" showAll="0"/>
  </pivotFields>
  <rowFields count="1">
    <field x="0"/>
  </rowFields>
  <rowItems count="13">
    <i>
      <x/>
    </i>
    <i>
      <x v="1"/>
    </i>
    <i>
      <x v="2"/>
    </i>
    <i>
      <x v="3"/>
    </i>
    <i>
      <x v="4"/>
    </i>
    <i>
      <x v="5"/>
    </i>
    <i>
      <x v="6"/>
    </i>
    <i>
      <x v="7"/>
    </i>
    <i>
      <x v="8"/>
    </i>
    <i>
      <x v="9"/>
    </i>
    <i>
      <x v="10"/>
    </i>
    <i>
      <x v="11"/>
    </i>
    <i t="grand">
      <x/>
    </i>
  </rowItems>
  <colItems count="1">
    <i/>
  </colItems>
  <dataFields count="1">
    <dataField name="Sum of Non-Sauids" fld="2"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A7941F3-2734-4004-ABFD-27B9F16A9B7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3:M4" firstHeaderRow="1" firstDataRow="1" firstDataCol="0"/>
  <pivotFields count="34">
    <pivotField showAll="0">
      <items count="13">
        <item x="0"/>
        <item x="1"/>
        <item x="2"/>
        <item x="3"/>
        <item x="4"/>
        <item x="5"/>
        <item x="6"/>
        <item x="7"/>
        <item x="8"/>
        <item x="9"/>
        <item x="10"/>
        <item x="11"/>
        <item t="default"/>
      </items>
    </pivotField>
    <pivotField numFmtId="3" showAll="0"/>
    <pivotField numFmtId="3" showAll="0"/>
    <pivotField numFmtId="3" showAll="0"/>
    <pivotField numFmtId="9" showAll="0"/>
    <pivotField showAll="0"/>
    <pivotField dataField="1" showAll="0"/>
    <pivotField showAll="0"/>
    <pivotField numFmtId="164"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numFmtId="10" showAll="0"/>
    <pivotField showAll="0"/>
    <pivotField showAll="0"/>
    <pivotField numFmtId="9" showAll="0"/>
    <pivotField showAll="0"/>
    <pivotField showAll="0"/>
    <pivotField showAll="0"/>
    <pivotField numFmtId="9" showAll="0"/>
    <pivotField numFmtId="9" showAll="0"/>
    <pivotField numFmtId="9" showAll="0"/>
    <pivotField numFmtId="9" showAll="0"/>
    <pivotField numFmtId="9" showAll="0"/>
    <pivotField numFmtId="9" showAll="0"/>
  </pivotFields>
  <rowItems count="1">
    <i/>
  </rowItems>
  <colItems count="1">
    <i/>
  </colItems>
  <dataFields count="1">
    <dataField name="Sum of # Hours Lat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729F16A-5A78-487F-BFF1-FE5A8922B305}"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4:G27" firstHeaderRow="1" firstDataRow="1" firstDataCol="1"/>
  <pivotFields count="34">
    <pivotField axis="axisRow" showAll="0">
      <items count="13">
        <item x="0"/>
        <item x="1"/>
        <item x="2"/>
        <item x="3"/>
        <item x="4"/>
        <item x="5"/>
        <item x="6"/>
        <item x="7"/>
        <item x="8"/>
        <item x="9"/>
        <item x="10"/>
        <item x="11"/>
        <item t="default"/>
      </items>
    </pivotField>
    <pivotField numFmtId="3" showAll="0"/>
    <pivotField numFmtId="3" showAll="0"/>
    <pivotField numFmtId="3" showAll="0"/>
    <pivotField dataField="1" numFmtId="9"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numFmtId="10" showAll="0"/>
    <pivotField showAll="0"/>
    <pivotField showAll="0"/>
    <pivotField numFmtId="9" showAll="0"/>
    <pivotField showAll="0"/>
    <pivotField showAll="0"/>
    <pivotField showAll="0"/>
    <pivotField numFmtId="9" showAll="0"/>
    <pivotField numFmtId="9" showAll="0"/>
    <pivotField numFmtId="9" showAll="0"/>
    <pivotField numFmtId="9" showAll="0"/>
    <pivotField numFmtId="9" showAll="0"/>
    <pivotField numFmtId="9" showAll="0"/>
  </pivotFields>
  <rowFields count="1">
    <field x="0"/>
  </rowFields>
  <rowItems count="13">
    <i>
      <x/>
    </i>
    <i>
      <x v="1"/>
    </i>
    <i>
      <x v="2"/>
    </i>
    <i>
      <x v="3"/>
    </i>
    <i>
      <x v="4"/>
    </i>
    <i>
      <x v="5"/>
    </i>
    <i>
      <x v="6"/>
    </i>
    <i>
      <x v="7"/>
    </i>
    <i>
      <x v="8"/>
    </i>
    <i>
      <x v="9"/>
    </i>
    <i>
      <x v="10"/>
    </i>
    <i>
      <x v="11"/>
    </i>
    <i t="grand">
      <x/>
    </i>
  </rowItems>
  <colItems count="1">
    <i/>
  </colItems>
  <dataFields count="1">
    <dataField name="Average of % Saudization" fld="4" subtotal="average"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AEADD4F-A75B-4620-8369-E8C801F2E1BD}"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0:M11" firstHeaderRow="1" firstDataRow="1" firstDataCol="0"/>
  <pivotFields count="34">
    <pivotField showAll="0">
      <items count="13">
        <item x="0"/>
        <item x="1"/>
        <item x="2"/>
        <item x="3"/>
        <item x="4"/>
        <item x="5"/>
        <item x="6"/>
        <item x="7"/>
        <item x="8"/>
        <item x="9"/>
        <item x="10"/>
        <item x="11"/>
        <item t="default"/>
      </items>
    </pivotField>
    <pivotField numFmtId="3" showAll="0"/>
    <pivotField numFmtId="3" showAll="0"/>
    <pivotField dataField="1" numFmtId="3" showAll="0"/>
    <pivotField numFmtId="9"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numFmtId="10" showAll="0"/>
    <pivotField showAll="0"/>
    <pivotField showAll="0"/>
    <pivotField numFmtId="9" showAll="0"/>
    <pivotField showAll="0"/>
    <pivotField showAll="0"/>
    <pivotField showAll="0"/>
    <pivotField numFmtId="9" showAll="0"/>
    <pivotField numFmtId="9" showAll="0"/>
    <pivotField numFmtId="9" showAll="0"/>
    <pivotField numFmtId="9" showAll="0"/>
    <pivotField numFmtId="9" showAll="0"/>
    <pivotField numFmtId="9" showAll="0"/>
  </pivotFields>
  <rowItems count="1">
    <i/>
  </rowItems>
  <colItems count="1">
    <i/>
  </colItems>
  <dataFields count="1">
    <dataField name="Sum of # Headc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829A4BD-F940-4AE9-A62C-670287EA683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I4" firstHeaderRow="1" firstDataRow="1" firstDataCol="0"/>
  <pivotFields count="34">
    <pivotField showAll="0">
      <items count="13">
        <item x="0"/>
        <item x="1"/>
        <item x="2"/>
        <item x="3"/>
        <item x="4"/>
        <item x="5"/>
        <item x="6"/>
        <item x="7"/>
        <item x="8"/>
        <item x="9"/>
        <item x="10"/>
        <item x="11"/>
        <item t="default"/>
      </items>
    </pivotField>
    <pivotField numFmtId="3" showAll="0"/>
    <pivotField numFmtId="3" showAll="0"/>
    <pivotField numFmtId="3" showAll="0"/>
    <pivotField numFmtId="9" showAll="0"/>
    <pivotField dataField="1"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numFmtId="10" showAll="0"/>
    <pivotField showAll="0"/>
    <pivotField showAll="0"/>
    <pivotField numFmtId="9" showAll="0"/>
    <pivotField showAll="0"/>
    <pivotField showAll="0"/>
    <pivotField showAll="0"/>
    <pivotField numFmtId="9" showAll="0"/>
    <pivotField numFmtId="9" showAll="0"/>
    <pivotField numFmtId="9" showAll="0"/>
    <pivotField numFmtId="9" showAll="0"/>
    <pivotField numFmtId="9" showAll="0"/>
    <pivotField numFmtId="9" showAll="0"/>
  </pivotFields>
  <rowItems count="1">
    <i/>
  </rowItems>
  <colItems count="1">
    <i/>
  </colItems>
  <dataFields count="1">
    <dataField name="Sum of # Sick Leav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B56DAA9-113D-46FF-B4F8-CD1C5AFE2D45}" sourceName="Month">
  <pivotTables>
    <pivotTable tabId="4" name="PivotTable1"/>
    <pivotTable tabId="4" name="PivotTable2"/>
    <pivotTable tabId="4" name="PivotTable3"/>
    <pivotTable tabId="4" name="PivotTable9"/>
    <pivotTable tabId="5" name="PivotTable10"/>
    <pivotTable tabId="5" name="PivotTable11"/>
    <pivotTable tabId="5" name="PivotTable12"/>
    <pivotTable tabId="5" name="PivotTable13"/>
    <pivotTable tabId="5" name="PivotTable19"/>
    <pivotTable tabId="5" name="PivotTable4"/>
    <pivotTable tabId="5" name="PivotTable6"/>
    <pivotTable tabId="5" name="PivotTable7"/>
    <pivotTable tabId="5" name="PivotTable8"/>
    <pivotTable tabId="7" name="PivotTable14"/>
    <pivotTable tabId="7" name="PivotTable15"/>
    <pivotTable tabId="7" name="PivotTable16"/>
    <pivotTable tabId="7" name="PivotTable17"/>
    <pivotTable tabId="9" name="PivotTable20"/>
    <pivotTable tabId="9" name="PivotTable21"/>
    <pivotTable tabId="9" name="PivotTable22"/>
    <pivotTable tabId="9" name="PivotTable23"/>
    <pivotTable tabId="4" name="PivotTable24"/>
  </pivotTables>
  <data>
    <tabular pivotCacheId="2010899921">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g_Age" xr10:uid="{E4834D7E-5A5D-4DD7-96B1-E16BFF8A9012}" sourceName="Avg Age">
  <pivotTables>
    <pivotTable tabId="4" name="PivotTable24"/>
  </pivotTables>
  <data>
    <tabular pivotCacheId="2010899921">
      <items count="8">
        <i x="7" s="1"/>
        <i x="0" s="1"/>
        <i x="1" s="1"/>
        <i x="2" s="1"/>
        <i x="6" s="1"/>
        <i x="5"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D03A4C1-ADEA-4860-A2C3-C4887275B4A2}" cache="Slicer_Month" caption="Month" style="SlicerStyleOther1" rowHeight="234950"/>
  <slicer name="Avg Age" xr10:uid="{C672C18B-121A-4637-9FC3-C725A73A102F}" cache="Slicer_Avg_Age" caption="Avg Age"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813DD7-949C-4B1A-87DE-7BDEB132E0E9}" name="MainData" displayName="MainData" ref="B2:AI15" totalsRowCount="1" headerRowDxfId="69" dataDxfId="68">
  <autoFilter ref="B2:AI14" xr:uid="{0CE2AEC7-3676-4109-8EBA-2372B922625A}"/>
  <tableColumns count="34">
    <tableColumn id="1" xr3:uid="{4449374C-58C2-41BA-97D5-8ECAEA0F0421}" name="Month" dataDxfId="67" totalsRowDxfId="66"/>
    <tableColumn id="2" xr3:uid="{663FA0B8-237F-4268-9493-B1758B2E9EB7}" name="Saudis" totalsRowFunction="average" dataDxfId="65" totalsRowDxfId="64"/>
    <tableColumn id="3" xr3:uid="{A6FE056C-44D4-4E0F-A338-5A3AC7323B0F}" name="Non-Sauids" totalsRowFunction="average" dataDxfId="63" totalsRowDxfId="62"/>
    <tableColumn id="13" xr3:uid="{986F1DE9-AEF9-421A-A879-656331B5CDB4}" name="# Headcount" totalsRowFunction="average" dataDxfId="61" totalsRowDxfId="60">
      <calculatedColumnFormula>MainData[[#This Row],[Non-Sauids]]+MainData[[#This Row],[Saudis]]</calculatedColumnFormula>
    </tableColumn>
    <tableColumn id="22" xr3:uid="{08F3D614-6B88-4A0F-8295-20CA9896E0A5}" name="% Saudization" totalsRowFunction="average" dataDxfId="59" totalsRowDxfId="58" dataCellStyle="Percent">
      <calculatedColumnFormula>MainData[[#This Row],[Saudis]]/MainData[[#This Row],['# Headcount]]</calculatedColumnFormula>
    </tableColumn>
    <tableColumn id="4" xr3:uid="{3D916D42-BFA0-4467-BD6D-02AD327DEC73}" name="# Sick Leave" totalsRowFunction="custom" dataDxfId="57" totalsRowDxfId="56">
      <totalsRowFormula>SUBTOTAL(109,G3:G14)</totalsRowFormula>
    </tableColumn>
    <tableColumn id="5" xr3:uid="{50155021-46B9-42E8-972D-0D5172F34487}" name="# Hours Late" totalsRowFunction="custom" dataDxfId="55" totalsRowDxfId="54">
      <totalsRowFormula>SUBTOTAL(109,H3:H14)</totalsRowFormula>
    </tableColumn>
    <tableColumn id="6" xr3:uid="{00C59C8A-8F99-4597-BB3F-103C945EB071}" name="# Unpaid Leaves" totalsRowFunction="custom" dataDxfId="53" totalsRowDxfId="52">
      <totalsRowFormula>SUBTOTAL(109,I3:I14)</totalsRowFormula>
    </tableColumn>
    <tableColumn id="7" xr3:uid="{E1077328-ED47-4836-A87B-C500F4B28C94}" name="$ Incentive" totalsRowFunction="custom" dataDxfId="51" totalsRowDxfId="50" dataCellStyle="Comma">
      <totalsRowFormula>SUBTOTAL(109,J3:J14)</totalsRowFormula>
    </tableColumn>
    <tableColumn id="8" xr3:uid="{BAE00E96-432D-4CA4-ADDF-E4A2E9B56815}" name="$ Overtime" totalsRowFunction="custom" dataDxfId="49" totalsRowDxfId="48" dataCellStyle="Comma">
      <totalsRowFormula>SUBTOTAL(109,K3:K14)</totalsRowFormula>
    </tableColumn>
    <tableColumn id="9" xr3:uid="{A549E15F-1926-4F1C-B44E-FA8D3526500F}" name="$ Payroll" totalsRowFunction="custom" dataDxfId="47" totalsRowDxfId="46" dataCellStyle="Comma">
      <totalsRowFormula>SUBTOTAL(109,L3:L14)</totalsRowFormula>
    </tableColumn>
    <tableColumn id="14" xr3:uid="{5E72F29D-850E-4B99-AACC-124DBC230C40}" name="# Leavers" totalsRowFunction="custom" dataDxfId="45" totalsRowDxfId="44">
      <totalsRowFormula>SUBTOTAL(109,M3:M14)</totalsRowFormula>
    </tableColumn>
    <tableColumn id="15" xr3:uid="{C3FE51E2-2306-448E-A043-DBE40647BE95}" name="# Joiners" totalsRowFunction="custom" dataDxfId="43" totalsRowDxfId="42">
      <totalsRowFormula>SUBTOTAL(109,N3:N14)</totalsRowFormula>
    </tableColumn>
    <tableColumn id="16" xr3:uid="{C9DC56FB-CDAF-444D-B2B0-849604E410A0}" name="% Outsource" totalsRowFunction="custom" dataDxfId="41" totalsRowDxfId="40">
      <totalsRowFormula>SUBTOTAL(109,O3:O14)</totalsRowFormula>
    </tableColumn>
    <tableColumn id="17" xr3:uid="{E5D75A60-74E1-415B-9280-DE8CF2AE9BA2}" name="# Part Timers" totalsRowFunction="custom" dataDxfId="39" totalsRowDxfId="38">
      <totalsRowFormula>SUBTOTAL(109,P3:P14)</totalsRowFormula>
    </tableColumn>
    <tableColumn id="19" xr3:uid="{84253E07-4E54-46A0-9B31-3A13C6AB29F0}" name="# Employees Aged &gt;50" totalsRowFunction="custom" dataDxfId="37" totalsRowDxfId="36">
      <totalsRowFormula>SUBTOTAL(109,Q3:Q14)</totalsRowFormula>
    </tableColumn>
    <tableColumn id="21" xr3:uid="{844379C9-4D15-4269-8FA8-5CA8C3C4E304}" name="% Of Females" totalsRowFunction="custom" dataDxfId="35" totalsRowDxfId="34">
      <totalsRowFormula>SUBTOTAL(109,R3:R14)</totalsRowFormula>
    </tableColumn>
    <tableColumn id="23" xr3:uid="{8697EBBC-8DB6-4288-BD8E-245B45EB1449}" name="# Corrective Actions" totalsRowFunction="custom" dataDxfId="33" totalsRowDxfId="32">
      <totalsRowFormula>SUBTOTAL(109,S3:S14)</totalsRowFormula>
    </tableColumn>
    <tableColumn id="25" xr3:uid="{7CCB2FA2-7C88-4BDF-916C-446A7F1982A0}" name="# Contract Termination" totalsRowFunction="custom" dataDxfId="31" totalsRowDxfId="30">
      <totalsRowFormula>SUBTOTAL(109,T3:T14)</totalsRowFormula>
    </tableColumn>
    <tableColumn id="27" xr3:uid="{4E00315D-170F-4003-9658-46F810CCAB5E}" name="# Probation Period Termination" totalsRowFunction="custom" dataDxfId="29" totalsRowDxfId="28">
      <totalsRowFormula>SUBTOTAL(109,U3:U14)</totalsRowFormula>
    </tableColumn>
    <tableColumn id="33" xr3:uid="{20312AA2-B6A4-4EFB-8CC4-67947FA6CF17}" name="# Leavers With Service Less Than 3 Years" totalsRowFunction="custom" dataDxfId="27" totalsRowDxfId="26">
      <totalsRowFormula>SUBTOTAL(109,V3:V14)</totalsRowFormula>
    </tableColumn>
    <tableColumn id="34" xr3:uid="{243C657D-E615-41A6-BB9B-4D0DBE28B3E2}" name="% Turnover" totalsRowFunction="custom" dataDxfId="25" totalsRowDxfId="24" dataCellStyle="Percent">
      <totalsRowFormula>SUBTOTAL(109,W3:W14)</totalsRowFormula>
    </tableColumn>
    <tableColumn id="35" xr3:uid="{2AA909ED-4DD0-4DE6-BD8A-52B42EC56F8E}" name="# Retried Employees" totalsRowFunction="custom" dataDxfId="23" totalsRowDxfId="22">
      <totalsRowFormula>SUBTOTAL(109,X3:X14)</totalsRowFormula>
    </tableColumn>
    <tableColumn id="36" xr3:uid="{BD0C044F-C8D0-494B-B393-7E55D644C868}" name="Avg Age" totalsRowFunction="custom" dataDxfId="21" totalsRowDxfId="20">
      <totalsRowFormula>SUBTOTAL(109,Y3:Y14)</totalsRowFormula>
    </tableColumn>
    <tableColumn id="37" xr3:uid="{E7E7793C-BCCB-45DB-8FDC-8A3E958E28C3}" name="% Hr Expenses Vs Budget" totalsRowFunction="custom" dataDxfId="19" totalsRowDxfId="18" dataCellStyle="Percent">
      <totalsRowFormula>SUBTOTAL(109,Z3:Z14)</totalsRowFormula>
    </tableColumn>
    <tableColumn id="38" xr3:uid="{77B253F5-1094-4F0F-87D5-C92F31C3EB75}" name="# Training Hours" totalsRowFunction="custom" dataDxfId="17" totalsRowDxfId="16">
      <totalsRowFormula>SUBTOTAL(109,AA3:AA14)</totalsRowFormula>
    </tableColumn>
    <tableColumn id="46" xr3:uid="{14EA967B-17E3-44F8-9279-7E66E874FEC8}" name="# Trained Employees" totalsRowFunction="custom" dataDxfId="15" totalsRowDxfId="14">
      <totalsRowFormula>SUBTOTAL(109,AB3:AB14)</totalsRowFormula>
    </tableColumn>
    <tableColumn id="40" xr3:uid="{E724B681-FFD2-4641-9C23-D005A944CFA5}" name="# HR Headcount" totalsRowFunction="custom" dataDxfId="13" totalsRowDxfId="12">
      <totalsRowFormula>SUBTOTAL(109,AC3:AC14)</totalsRowFormula>
    </tableColumn>
    <tableColumn id="41" xr3:uid="{BC5D7A03-A60F-44A8-A812-1D0DC702CD2E}" name="% Automated Processes" totalsRowFunction="average" dataDxfId="11" totalsRowDxfId="10" dataCellStyle="Percent"/>
    <tableColumn id="43" xr3:uid="{CB376F50-7B88-4082-99CC-E4F3BB1A44A4}" name="% High Performers" totalsRowFunction="average" dataDxfId="9" totalsRowDxfId="8" dataCellStyle="Percent"/>
    <tableColumn id="44" xr3:uid="{E579433E-A70F-4A3A-B85F-B4D655C33060}" name="% Low Performers" totalsRowFunction="average" dataDxfId="7" totalsRowDxfId="6" dataCellStyle="Percent"/>
    <tableColumn id="49" xr3:uid="{BA4BB665-01AF-4433-AB3D-3A2F6785EF9C}" name="% Training Effectiveness Index" totalsRowFunction="average" dataDxfId="5" totalsRowDxfId="4" dataCellStyle="Percent"/>
    <tableColumn id="51" xr3:uid="{8A8619C4-2494-488C-96E3-9E4555225AE7}" name="% Training Plan Achieved'" totalsRowFunction="custom" dataDxfId="3" totalsRowDxfId="2" dataCellStyle="Percent">
      <totalsRowFormula>SUBTOTAL(109,AH3:AH14)</totalsRowFormula>
    </tableColumn>
    <tableColumn id="52" xr3:uid="{3F79DF07-91CA-4B49-9E44-79D53ADBBDBE}" name="% Manpower Plan Achieved" totalsRowFunction="custom" dataDxfId="1" totalsRowDxfId="0" dataCellStyle="Percent">
      <totalsRowFormula>SUBTOTAL(109,AI3:AI14)</totalsRowFormula>
    </tableColumn>
  </tableColumns>
  <tableStyleInfo name="TableStyleMedium1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13.xml"/><Relationship Id="rId3" Type="http://schemas.openxmlformats.org/officeDocument/2006/relationships/pivotTable" Target="../pivotTables/pivotTable8.xml"/><Relationship Id="rId7" Type="http://schemas.openxmlformats.org/officeDocument/2006/relationships/pivotTable" Target="../pivotTables/pivotTable1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 Id="rId9"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4" Type="http://schemas.openxmlformats.org/officeDocument/2006/relationships/pivotTable" Target="../pivotTables/pivotTable18.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21.xml"/><Relationship Id="rId2" Type="http://schemas.openxmlformats.org/officeDocument/2006/relationships/pivotTable" Target="../pivotTables/pivotTable20.xml"/><Relationship Id="rId1" Type="http://schemas.openxmlformats.org/officeDocument/2006/relationships/pivotTable" Target="../pivotTables/pivotTable19.xml"/><Relationship Id="rId4" Type="http://schemas.openxmlformats.org/officeDocument/2006/relationships/pivotTable" Target="../pivotTables/pivotTable2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501F0-9E40-46B8-919D-235861BF5743}">
  <dimension ref="A3:N33"/>
  <sheetViews>
    <sheetView topLeftCell="D1" workbookViewId="0">
      <selection activeCell="D37" sqref="D37"/>
    </sheetView>
  </sheetViews>
  <sheetFormatPr defaultRowHeight="14.4" x14ac:dyDescent="0.3"/>
  <cols>
    <col min="1" max="1" width="12.5546875" bestFit="1" customWidth="1"/>
    <col min="2" max="2" width="12.88671875" bestFit="1" customWidth="1"/>
    <col min="3" max="3" width="14" bestFit="1" customWidth="1"/>
    <col min="4" max="4" width="12.88671875" bestFit="1" customWidth="1"/>
    <col min="5" max="5" width="17.33203125" bestFit="1" customWidth="1"/>
    <col min="8" max="8" width="12.5546875" bestFit="1" customWidth="1"/>
    <col min="9" max="9" width="12.88671875" bestFit="1" customWidth="1"/>
    <col min="10" max="10" width="17.33203125" bestFit="1" customWidth="1"/>
    <col min="12" max="12" width="12.5546875" bestFit="1" customWidth="1"/>
    <col min="13" max="13" width="12.88671875" bestFit="1" customWidth="1"/>
    <col min="14" max="14" width="17.33203125" bestFit="1" customWidth="1"/>
  </cols>
  <sheetData>
    <row r="3" spans="1:10" x14ac:dyDescent="0.3">
      <c r="A3" s="18" t="s">
        <v>51</v>
      </c>
      <c r="B3" t="s">
        <v>53</v>
      </c>
      <c r="I3" s="18" t="s">
        <v>51</v>
      </c>
      <c r="J3" t="s">
        <v>54</v>
      </c>
    </row>
    <row r="4" spans="1:10" x14ac:dyDescent="0.3">
      <c r="A4" s="20" t="s">
        <v>26</v>
      </c>
      <c r="B4">
        <v>1000</v>
      </c>
      <c r="I4" s="20" t="s">
        <v>26</v>
      </c>
      <c r="J4">
        <v>2700</v>
      </c>
    </row>
    <row r="5" spans="1:10" x14ac:dyDescent="0.3">
      <c r="A5" s="20" t="s">
        <v>27</v>
      </c>
      <c r="B5">
        <v>1100</v>
      </c>
      <c r="I5" s="20" t="s">
        <v>27</v>
      </c>
      <c r="J5">
        <v>2800</v>
      </c>
    </row>
    <row r="6" spans="1:10" x14ac:dyDescent="0.3">
      <c r="A6" s="20" t="s">
        <v>28</v>
      </c>
      <c r="B6">
        <v>1101</v>
      </c>
      <c r="I6" s="20" t="s">
        <v>28</v>
      </c>
      <c r="J6">
        <v>2900</v>
      </c>
    </row>
    <row r="7" spans="1:10" x14ac:dyDescent="0.3">
      <c r="A7" s="20" t="s">
        <v>29</v>
      </c>
      <c r="B7">
        <v>900</v>
      </c>
      <c r="I7" s="20" t="s">
        <v>29</v>
      </c>
      <c r="J7">
        <v>3000</v>
      </c>
    </row>
    <row r="8" spans="1:10" x14ac:dyDescent="0.3">
      <c r="A8" s="20" t="s">
        <v>30</v>
      </c>
      <c r="B8">
        <v>1110</v>
      </c>
      <c r="I8" s="20" t="s">
        <v>30</v>
      </c>
      <c r="J8">
        <v>2700</v>
      </c>
    </row>
    <row r="9" spans="1:10" x14ac:dyDescent="0.3">
      <c r="A9" s="20" t="s">
        <v>31</v>
      </c>
      <c r="B9">
        <v>1000</v>
      </c>
      <c r="I9" s="20" t="s">
        <v>31</v>
      </c>
      <c r="J9">
        <v>2713</v>
      </c>
    </row>
    <row r="10" spans="1:10" x14ac:dyDescent="0.3">
      <c r="A10" s="20" t="s">
        <v>32</v>
      </c>
      <c r="B10">
        <v>1009</v>
      </c>
      <c r="I10" s="20" t="s">
        <v>32</v>
      </c>
      <c r="J10">
        <v>2710</v>
      </c>
    </row>
    <row r="11" spans="1:10" x14ac:dyDescent="0.3">
      <c r="A11" s="20" t="s">
        <v>33</v>
      </c>
      <c r="B11">
        <v>1003</v>
      </c>
      <c r="I11" s="20" t="s">
        <v>33</v>
      </c>
      <c r="J11">
        <v>2600</v>
      </c>
    </row>
    <row r="12" spans="1:10" x14ac:dyDescent="0.3">
      <c r="A12" s="20" t="s">
        <v>34</v>
      </c>
      <c r="B12">
        <v>980</v>
      </c>
      <c r="I12" s="20" t="s">
        <v>34</v>
      </c>
      <c r="J12">
        <v>2500</v>
      </c>
    </row>
    <row r="13" spans="1:10" x14ac:dyDescent="0.3">
      <c r="A13" s="20" t="s">
        <v>35</v>
      </c>
      <c r="B13">
        <v>930</v>
      </c>
      <c r="I13" s="20" t="s">
        <v>35</v>
      </c>
      <c r="J13">
        <v>2400</v>
      </c>
    </row>
    <row r="14" spans="1:10" x14ac:dyDescent="0.3">
      <c r="A14" s="20" t="s">
        <v>36</v>
      </c>
      <c r="B14">
        <v>870</v>
      </c>
      <c r="I14" s="20" t="s">
        <v>36</v>
      </c>
      <c r="J14">
        <v>2300</v>
      </c>
    </row>
    <row r="15" spans="1:10" x14ac:dyDescent="0.3">
      <c r="A15" s="20" t="s">
        <v>37</v>
      </c>
      <c r="B15">
        <v>990</v>
      </c>
      <c r="I15" s="20" t="s">
        <v>37</v>
      </c>
      <c r="J15">
        <v>2210</v>
      </c>
    </row>
    <row r="16" spans="1:10" x14ac:dyDescent="0.3">
      <c r="A16" s="20" t="s">
        <v>52</v>
      </c>
      <c r="B16">
        <v>11993</v>
      </c>
      <c r="I16" s="20" t="s">
        <v>52</v>
      </c>
      <c r="J16">
        <v>31533</v>
      </c>
    </row>
    <row r="18" spans="2:14" x14ac:dyDescent="0.3">
      <c r="D18" t="s">
        <v>53</v>
      </c>
      <c r="E18" t="s">
        <v>54</v>
      </c>
    </row>
    <row r="19" spans="2:14" x14ac:dyDescent="0.3">
      <c r="B19">
        <f>GETPIVOTDATA("Sum of Saudis",$D$18)</f>
        <v>11993</v>
      </c>
      <c r="D19">
        <v>11993</v>
      </c>
      <c r="E19">
        <v>31533</v>
      </c>
      <c r="L19" s="18" t="s">
        <v>51</v>
      </c>
      <c r="M19" t="s">
        <v>53</v>
      </c>
      <c r="N19" t="s">
        <v>54</v>
      </c>
    </row>
    <row r="20" spans="2:14" x14ac:dyDescent="0.3">
      <c r="B20">
        <f>GETPIVOTDATA("Sum of Non-Sauids",$D$18)</f>
        <v>31533</v>
      </c>
      <c r="H20" s="18" t="s">
        <v>51</v>
      </c>
      <c r="I20" t="s">
        <v>53</v>
      </c>
      <c r="J20" t="s">
        <v>54</v>
      </c>
      <c r="L20" s="20" t="s">
        <v>26</v>
      </c>
      <c r="M20">
        <v>1000</v>
      </c>
      <c r="N20">
        <v>2700</v>
      </c>
    </row>
    <row r="21" spans="2:14" x14ac:dyDescent="0.3">
      <c r="E21">
        <v>43526</v>
      </c>
      <c r="H21" s="20" t="s">
        <v>26</v>
      </c>
      <c r="I21" s="17">
        <v>8.3381972817476863E-2</v>
      </c>
      <c r="J21" s="21">
        <v>8.5624583769384449E-2</v>
      </c>
      <c r="L21" s="20" t="s">
        <v>27</v>
      </c>
      <c r="M21">
        <v>1100</v>
      </c>
      <c r="N21">
        <v>2800</v>
      </c>
    </row>
    <row r="22" spans="2:14" x14ac:dyDescent="0.3">
      <c r="H22" s="20" t="s">
        <v>27</v>
      </c>
      <c r="I22" s="17">
        <v>9.1720170099224549E-2</v>
      </c>
      <c r="J22" s="21">
        <v>8.879586464973202E-2</v>
      </c>
      <c r="L22" s="20" t="s">
        <v>28</v>
      </c>
      <c r="M22">
        <v>1101</v>
      </c>
      <c r="N22">
        <v>2900</v>
      </c>
    </row>
    <row r="23" spans="2:14" x14ac:dyDescent="0.3">
      <c r="H23" s="20" t="s">
        <v>28</v>
      </c>
      <c r="I23" s="17">
        <v>9.1803552072042022E-2</v>
      </c>
      <c r="J23" s="21">
        <v>9.1967145530079605E-2</v>
      </c>
      <c r="L23" s="20" t="s">
        <v>29</v>
      </c>
      <c r="M23">
        <v>900</v>
      </c>
      <c r="N23">
        <v>3000</v>
      </c>
    </row>
    <row r="24" spans="2:14" x14ac:dyDescent="0.3">
      <c r="H24" s="20" t="s">
        <v>29</v>
      </c>
      <c r="I24" s="17">
        <v>7.5043775535729176E-2</v>
      </c>
      <c r="J24" s="21">
        <v>9.5138426410427177E-2</v>
      </c>
      <c r="L24" s="20" t="s">
        <v>30</v>
      </c>
      <c r="M24">
        <v>1110</v>
      </c>
      <c r="N24">
        <v>2700</v>
      </c>
    </row>
    <row r="25" spans="2:14" x14ac:dyDescent="0.3">
      <c r="H25" s="20" t="s">
        <v>30</v>
      </c>
      <c r="I25" s="17">
        <v>9.2553989827399319E-2</v>
      </c>
      <c r="J25" s="21">
        <v>8.5624583769384449E-2</v>
      </c>
      <c r="L25" s="20" t="s">
        <v>31</v>
      </c>
      <c r="M25">
        <v>1000</v>
      </c>
      <c r="N25">
        <v>2713</v>
      </c>
    </row>
    <row r="26" spans="2:14" x14ac:dyDescent="0.3">
      <c r="H26" s="20" t="s">
        <v>31</v>
      </c>
      <c r="I26" s="17">
        <v>8.3381972817476863E-2</v>
      </c>
      <c r="J26" s="21">
        <v>8.6036850283829638E-2</v>
      </c>
      <c r="L26" s="20" t="s">
        <v>32</v>
      </c>
      <c r="M26">
        <v>1009</v>
      </c>
      <c r="N26">
        <v>2710</v>
      </c>
    </row>
    <row r="27" spans="2:14" x14ac:dyDescent="0.3">
      <c r="H27" s="20" t="s">
        <v>32</v>
      </c>
      <c r="I27" s="17">
        <v>8.413241057283416E-2</v>
      </c>
      <c r="J27" s="21">
        <v>8.5941711857419209E-2</v>
      </c>
      <c r="L27" s="20" t="s">
        <v>33</v>
      </c>
      <c r="M27">
        <v>1003</v>
      </c>
      <c r="N27">
        <v>2600</v>
      </c>
    </row>
    <row r="28" spans="2:14" x14ac:dyDescent="0.3">
      <c r="H28" s="20" t="s">
        <v>33</v>
      </c>
      <c r="I28" s="17">
        <v>8.3632118735929295E-2</v>
      </c>
      <c r="J28" s="21">
        <v>8.2453302889036878E-2</v>
      </c>
      <c r="L28" s="20" t="s">
        <v>34</v>
      </c>
      <c r="M28">
        <v>980</v>
      </c>
      <c r="N28">
        <v>2500</v>
      </c>
    </row>
    <row r="29" spans="2:14" x14ac:dyDescent="0.3">
      <c r="H29" s="20" t="s">
        <v>34</v>
      </c>
      <c r="I29" s="17">
        <v>8.1714333361127323E-2</v>
      </c>
      <c r="J29" s="21">
        <v>7.9282022008689307E-2</v>
      </c>
      <c r="L29" s="20" t="s">
        <v>35</v>
      </c>
      <c r="M29">
        <v>930</v>
      </c>
      <c r="N29">
        <v>2400</v>
      </c>
    </row>
    <row r="30" spans="2:14" x14ac:dyDescent="0.3">
      <c r="H30" s="20" t="s">
        <v>35</v>
      </c>
      <c r="I30" s="17">
        <v>7.7545234720253486E-2</v>
      </c>
      <c r="J30" s="21">
        <v>7.6110741128341736E-2</v>
      </c>
      <c r="L30" s="20" t="s">
        <v>36</v>
      </c>
      <c r="M30">
        <v>870</v>
      </c>
      <c r="N30">
        <v>2300</v>
      </c>
    </row>
    <row r="31" spans="2:14" x14ac:dyDescent="0.3">
      <c r="H31" s="20" t="s">
        <v>36</v>
      </c>
      <c r="I31" s="17">
        <v>7.2542316351204866E-2</v>
      </c>
      <c r="J31" s="21">
        <v>7.2939460247994164E-2</v>
      </c>
      <c r="L31" s="20" t="s">
        <v>37</v>
      </c>
      <c r="M31">
        <v>990</v>
      </c>
      <c r="N31">
        <v>2210</v>
      </c>
    </row>
    <row r="32" spans="2:14" x14ac:dyDescent="0.3">
      <c r="H32" s="20" t="s">
        <v>37</v>
      </c>
      <c r="I32" s="17">
        <v>8.2548153089302093E-2</v>
      </c>
      <c r="J32" s="21">
        <v>7.0085307455681353E-2</v>
      </c>
      <c r="L32" s="20" t="s">
        <v>52</v>
      </c>
      <c r="M32">
        <v>11993</v>
      </c>
      <c r="N32">
        <v>31533</v>
      </c>
    </row>
    <row r="33" spans="8:10" x14ac:dyDescent="0.3">
      <c r="H33" s="20" t="s">
        <v>52</v>
      </c>
      <c r="I33" s="17">
        <v>1</v>
      </c>
      <c r="J33" s="21">
        <v>1</v>
      </c>
    </row>
  </sheetData>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C4EBA-DDCF-4939-8B73-A464656CDB83}">
  <dimension ref="A3:N27"/>
  <sheetViews>
    <sheetView workbookViewId="0">
      <selection activeCell="N11" sqref="N11"/>
    </sheetView>
  </sheetViews>
  <sheetFormatPr defaultRowHeight="14.4" x14ac:dyDescent="0.3"/>
  <cols>
    <col min="1" max="1" width="18.33203125" bestFit="1" customWidth="1"/>
    <col min="2" max="2" width="16.77734375" bestFit="1" customWidth="1"/>
    <col min="5" max="5" width="22.5546875" bestFit="1" customWidth="1"/>
    <col min="6" max="6" width="12.5546875" bestFit="1" customWidth="1"/>
    <col min="7" max="7" width="22.5546875" bestFit="1" customWidth="1"/>
    <col min="9" max="9" width="17.77734375" bestFit="1" customWidth="1"/>
    <col min="10" max="10" width="14.77734375" bestFit="1" customWidth="1"/>
    <col min="13" max="14" width="18" bestFit="1" customWidth="1"/>
  </cols>
  <sheetData>
    <row r="3" spans="1:14" x14ac:dyDescent="0.3">
      <c r="A3" t="s">
        <v>55</v>
      </c>
      <c r="E3" t="s">
        <v>67</v>
      </c>
      <c r="I3" t="s">
        <v>56</v>
      </c>
      <c r="M3" t="s">
        <v>57</v>
      </c>
    </row>
    <row r="4" spans="1:14" x14ac:dyDescent="0.3">
      <c r="A4">
        <v>43526</v>
      </c>
      <c r="B4">
        <f>GETPIVOTDATA("# Headcount",$A$3)</f>
        <v>43526</v>
      </c>
      <c r="E4" s="17">
        <v>0.27611121764551444</v>
      </c>
      <c r="G4" s="22">
        <f>GETPIVOTDATA("% Saudization",$E$3)</f>
        <v>0.27611121764551444</v>
      </c>
      <c r="I4">
        <v>418</v>
      </c>
      <c r="J4">
        <f>GETPIVOTDATA("# Sick Leave",$I$3)</f>
        <v>418</v>
      </c>
      <c r="M4">
        <v>712</v>
      </c>
      <c r="N4">
        <f>GETPIVOTDATA("# Hours Late",$M$3)</f>
        <v>712</v>
      </c>
    </row>
    <row r="10" spans="1:14" x14ac:dyDescent="0.3">
      <c r="A10" t="s">
        <v>58</v>
      </c>
      <c r="E10" t="s">
        <v>59</v>
      </c>
      <c r="I10" t="s">
        <v>60</v>
      </c>
      <c r="M10" t="s">
        <v>55</v>
      </c>
    </row>
    <row r="11" spans="1:14" x14ac:dyDescent="0.3">
      <c r="A11" s="23">
        <v>6266855</v>
      </c>
      <c r="B11" s="23">
        <f>GETPIVOTDATA("$ Incentive",$A$10)</f>
        <v>6266855</v>
      </c>
      <c r="E11" s="23">
        <v>5900942</v>
      </c>
      <c r="F11" s="23">
        <f>GETPIVOTDATA("$ Overtime",$E$10)</f>
        <v>5900942</v>
      </c>
      <c r="I11" s="23">
        <v>154881248</v>
      </c>
      <c r="J11" s="23">
        <f>GETPIVOTDATA("$ Payroll",$I$10)</f>
        <v>154881248</v>
      </c>
      <c r="M11">
        <v>43526</v>
      </c>
      <c r="N11">
        <f>GETPIVOTDATA("# Headcount",$M$10)</f>
        <v>43526</v>
      </c>
    </row>
    <row r="14" spans="1:14" x14ac:dyDescent="0.3">
      <c r="F14" s="18" t="s">
        <v>51</v>
      </c>
      <c r="G14" t="s">
        <v>67</v>
      </c>
    </row>
    <row r="15" spans="1:14" x14ac:dyDescent="0.3">
      <c r="F15" s="20" t="s">
        <v>26</v>
      </c>
      <c r="G15" s="17">
        <v>0.27027027027027029</v>
      </c>
    </row>
    <row r="16" spans="1:14" x14ac:dyDescent="0.3">
      <c r="F16" s="20" t="s">
        <v>27</v>
      </c>
      <c r="G16" s="17">
        <v>0.28205128205128205</v>
      </c>
      <c r="I16" s="19"/>
    </row>
    <row r="17" spans="6:7" x14ac:dyDescent="0.3">
      <c r="F17" s="20" t="s">
        <v>28</v>
      </c>
      <c r="G17" s="17">
        <v>0.27518120469882529</v>
      </c>
    </row>
    <row r="18" spans="6:7" x14ac:dyDescent="0.3">
      <c r="F18" s="20" t="s">
        <v>29</v>
      </c>
      <c r="G18" s="17">
        <v>0.23076923076923078</v>
      </c>
    </row>
    <row r="19" spans="6:7" x14ac:dyDescent="0.3">
      <c r="F19" s="20" t="s">
        <v>30</v>
      </c>
      <c r="G19" s="17">
        <v>0.29133858267716534</v>
      </c>
    </row>
    <row r="20" spans="6:7" x14ac:dyDescent="0.3">
      <c r="F20" s="20" t="s">
        <v>31</v>
      </c>
      <c r="G20" s="17">
        <v>0.26932399676811203</v>
      </c>
    </row>
    <row r="21" spans="6:7" x14ac:dyDescent="0.3">
      <c r="F21" s="20" t="s">
        <v>32</v>
      </c>
      <c r="G21" s="17">
        <v>0.27130949179887065</v>
      </c>
    </row>
    <row r="22" spans="6:7" x14ac:dyDescent="0.3">
      <c r="F22" s="20" t="s">
        <v>33</v>
      </c>
      <c r="G22" s="17">
        <v>0.27837912850402441</v>
      </c>
    </row>
    <row r="23" spans="6:7" x14ac:dyDescent="0.3">
      <c r="F23" s="20" t="s">
        <v>34</v>
      </c>
      <c r="G23" s="17">
        <v>0.28160919540229884</v>
      </c>
    </row>
    <row r="24" spans="6:7" x14ac:dyDescent="0.3">
      <c r="F24" s="20" t="s">
        <v>35</v>
      </c>
      <c r="G24" s="17">
        <v>0.27927927927927926</v>
      </c>
    </row>
    <row r="25" spans="6:7" x14ac:dyDescent="0.3">
      <c r="F25" s="20" t="s">
        <v>36</v>
      </c>
      <c r="G25" s="17">
        <v>0.27444794952681389</v>
      </c>
    </row>
    <row r="26" spans="6:7" x14ac:dyDescent="0.3">
      <c r="F26" s="20" t="s">
        <v>37</v>
      </c>
      <c r="G26" s="17">
        <v>0.30937500000000001</v>
      </c>
    </row>
    <row r="27" spans="6:7" x14ac:dyDescent="0.3">
      <c r="F27" s="20" t="s">
        <v>52</v>
      </c>
      <c r="G27" s="17">
        <v>0.27611121764551444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E889C-7D89-49CE-B4B1-CAB2CDDDB337}">
  <dimension ref="A3:H31"/>
  <sheetViews>
    <sheetView workbookViewId="0">
      <selection activeCell="C18" sqref="C18"/>
    </sheetView>
  </sheetViews>
  <sheetFormatPr defaultRowHeight="14.4" x14ac:dyDescent="0.3"/>
  <cols>
    <col min="1" max="1" width="12.5546875" bestFit="1" customWidth="1"/>
    <col min="2" max="2" width="22.88671875" bestFit="1" customWidth="1"/>
    <col min="3" max="5" width="23.21875" bestFit="1" customWidth="1"/>
    <col min="8" max="8" width="18.5546875" bestFit="1" customWidth="1"/>
    <col min="9" max="11" width="18.21875" bestFit="1" customWidth="1"/>
  </cols>
  <sheetData>
    <row r="3" spans="1:8" x14ac:dyDescent="0.3">
      <c r="A3" s="18" t="s">
        <v>51</v>
      </c>
      <c r="B3" t="s">
        <v>61</v>
      </c>
      <c r="C3" t="s">
        <v>62</v>
      </c>
    </row>
    <row r="4" spans="1:8" x14ac:dyDescent="0.3">
      <c r="A4" s="20" t="s">
        <v>26</v>
      </c>
      <c r="B4">
        <v>22</v>
      </c>
      <c r="C4">
        <v>10</v>
      </c>
    </row>
    <row r="5" spans="1:8" x14ac:dyDescent="0.3">
      <c r="A5" s="20" t="s">
        <v>27</v>
      </c>
      <c r="B5">
        <v>14</v>
      </c>
      <c r="C5">
        <v>30</v>
      </c>
    </row>
    <row r="6" spans="1:8" x14ac:dyDescent="0.3">
      <c r="A6" s="20" t="s">
        <v>28</v>
      </c>
      <c r="B6">
        <v>29</v>
      </c>
      <c r="C6">
        <v>4</v>
      </c>
      <c r="H6" t="s">
        <v>65</v>
      </c>
    </row>
    <row r="7" spans="1:8" x14ac:dyDescent="0.3">
      <c r="A7" s="20" t="s">
        <v>29</v>
      </c>
      <c r="B7">
        <v>30</v>
      </c>
      <c r="C7">
        <v>50</v>
      </c>
      <c r="H7">
        <v>1776</v>
      </c>
    </row>
    <row r="8" spans="1:8" x14ac:dyDescent="0.3">
      <c r="A8" s="20" t="s">
        <v>30</v>
      </c>
      <c r="B8">
        <v>233</v>
      </c>
      <c r="C8">
        <v>107</v>
      </c>
    </row>
    <row r="9" spans="1:8" x14ac:dyDescent="0.3">
      <c r="A9" s="20" t="s">
        <v>31</v>
      </c>
      <c r="B9">
        <v>164</v>
      </c>
      <c r="C9">
        <v>232</v>
      </c>
    </row>
    <row r="10" spans="1:8" x14ac:dyDescent="0.3">
      <c r="A10" s="20" t="s">
        <v>32</v>
      </c>
      <c r="B10">
        <v>278</v>
      </c>
      <c r="C10">
        <v>99</v>
      </c>
    </row>
    <row r="11" spans="1:8" x14ac:dyDescent="0.3">
      <c r="A11" s="20" t="s">
        <v>33</v>
      </c>
      <c r="B11">
        <v>101</v>
      </c>
      <c r="C11">
        <v>70</v>
      </c>
    </row>
    <row r="12" spans="1:8" x14ac:dyDescent="0.3">
      <c r="A12" s="20" t="s">
        <v>34</v>
      </c>
      <c r="B12">
        <v>183</v>
      </c>
      <c r="C12">
        <v>174</v>
      </c>
    </row>
    <row r="13" spans="1:8" x14ac:dyDescent="0.3">
      <c r="A13" s="20" t="s">
        <v>35</v>
      </c>
      <c r="B13">
        <v>151</v>
      </c>
      <c r="C13">
        <v>62</v>
      </c>
    </row>
    <row r="14" spans="1:8" x14ac:dyDescent="0.3">
      <c r="A14" s="20" t="s">
        <v>36</v>
      </c>
      <c r="B14">
        <v>300</v>
      </c>
      <c r="C14">
        <v>198</v>
      </c>
    </row>
    <row r="15" spans="1:8" x14ac:dyDescent="0.3">
      <c r="A15" s="20" t="s">
        <v>37</v>
      </c>
      <c r="B15">
        <v>230</v>
      </c>
      <c r="C15">
        <v>266</v>
      </c>
    </row>
    <row r="16" spans="1:8" x14ac:dyDescent="0.3">
      <c r="A16" s="20" t="s">
        <v>52</v>
      </c>
      <c r="B16">
        <v>1735</v>
      </c>
      <c r="C16">
        <v>1302</v>
      </c>
    </row>
    <row r="17" spans="1:8" x14ac:dyDescent="0.3">
      <c r="H17" t="s">
        <v>66</v>
      </c>
    </row>
    <row r="18" spans="1:8" x14ac:dyDescent="0.3">
      <c r="A18" s="18" t="s">
        <v>51</v>
      </c>
      <c r="B18" t="s">
        <v>64</v>
      </c>
      <c r="C18" t="s">
        <v>63</v>
      </c>
      <c r="H18">
        <v>1285</v>
      </c>
    </row>
    <row r="19" spans="1:8" x14ac:dyDescent="0.3">
      <c r="A19" s="20" t="s">
        <v>26</v>
      </c>
      <c r="B19" s="17">
        <v>0.14012738853503184</v>
      </c>
      <c r="C19" s="17">
        <v>0.1</v>
      </c>
    </row>
    <row r="20" spans="1:8" x14ac:dyDescent="0.3">
      <c r="A20" s="20" t="s">
        <v>27</v>
      </c>
      <c r="B20" s="17">
        <v>0.12101910828025478</v>
      </c>
      <c r="C20" s="17">
        <v>0.1</v>
      </c>
    </row>
    <row r="21" spans="1:8" x14ac:dyDescent="0.3">
      <c r="A21" s="20" t="s">
        <v>28</v>
      </c>
      <c r="B21" s="17">
        <v>9.5541401273885343E-2</v>
      </c>
      <c r="C21" s="17">
        <v>0.12</v>
      </c>
    </row>
    <row r="22" spans="1:8" x14ac:dyDescent="0.3">
      <c r="A22" s="20" t="s">
        <v>29</v>
      </c>
      <c r="B22" s="17">
        <v>7.6433121019108277E-2</v>
      </c>
      <c r="C22" s="17">
        <v>0.11</v>
      </c>
    </row>
    <row r="23" spans="1:8" x14ac:dyDescent="0.3">
      <c r="A23" s="20" t="s">
        <v>30</v>
      </c>
      <c r="B23" s="17">
        <v>7.6433121019108277E-2</v>
      </c>
      <c r="C23" s="17">
        <v>0.12</v>
      </c>
    </row>
    <row r="24" spans="1:8" x14ac:dyDescent="0.3">
      <c r="A24" s="20" t="s">
        <v>31</v>
      </c>
      <c r="B24" s="17">
        <v>7.6433121019108277E-2</v>
      </c>
      <c r="C24" s="17">
        <v>0.19</v>
      </c>
    </row>
    <row r="25" spans="1:8" x14ac:dyDescent="0.3">
      <c r="A25" s="20" t="s">
        <v>32</v>
      </c>
      <c r="B25" s="17">
        <v>7.6433121019108277E-2</v>
      </c>
      <c r="C25" s="17">
        <v>0.1</v>
      </c>
    </row>
    <row r="26" spans="1:8" x14ac:dyDescent="0.3">
      <c r="A26" s="20" t="s">
        <v>33</v>
      </c>
      <c r="B26" s="17">
        <v>0.12101910828025478</v>
      </c>
      <c r="C26" s="17">
        <v>0.04</v>
      </c>
    </row>
    <row r="27" spans="1:8" x14ac:dyDescent="0.3">
      <c r="A27" s="20" t="s">
        <v>34</v>
      </c>
      <c r="B27" s="17">
        <v>0.12738853503184713</v>
      </c>
      <c r="C27" s="17">
        <v>0.08</v>
      </c>
    </row>
    <row r="28" spans="1:8" x14ac:dyDescent="0.3">
      <c r="A28" s="20" t="s">
        <v>35</v>
      </c>
      <c r="B28" s="17">
        <v>2.5477707006369425E-2</v>
      </c>
      <c r="C28" s="17">
        <v>0.19</v>
      </c>
    </row>
    <row r="29" spans="1:8" x14ac:dyDescent="0.3">
      <c r="A29" s="20" t="s">
        <v>36</v>
      </c>
      <c r="B29" s="17">
        <v>3.1847133757961783E-2</v>
      </c>
      <c r="C29" s="17">
        <v>0.2</v>
      </c>
    </row>
    <row r="30" spans="1:8" x14ac:dyDescent="0.3">
      <c r="A30" s="20" t="s">
        <v>37</v>
      </c>
      <c r="B30" s="17">
        <v>3.1847133757961783E-2</v>
      </c>
      <c r="C30" s="17">
        <v>0.33</v>
      </c>
    </row>
    <row r="31" spans="1:8" x14ac:dyDescent="0.3">
      <c r="A31" s="20" t="s">
        <v>52</v>
      </c>
      <c r="B31" s="17">
        <v>1</v>
      </c>
      <c r="C31" s="17">
        <v>1.68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3ADF5-CD48-4BA8-890E-851A56FDB32F}">
  <dimension ref="A1:K29"/>
  <sheetViews>
    <sheetView workbookViewId="0">
      <selection activeCell="J1" sqref="J1"/>
    </sheetView>
  </sheetViews>
  <sheetFormatPr defaultRowHeight="14.4" x14ac:dyDescent="0.3"/>
  <cols>
    <col min="1" max="1" width="12.5546875" bestFit="1" customWidth="1"/>
    <col min="2" max="3" width="17.21875" bestFit="1" customWidth="1"/>
    <col min="9" max="9" width="12.5546875" bestFit="1" customWidth="1"/>
    <col min="10" max="10" width="33.21875" bestFit="1" customWidth="1"/>
    <col min="11" max="11" width="29.33203125" bestFit="1" customWidth="1"/>
  </cols>
  <sheetData>
    <row r="1" spans="1:11" x14ac:dyDescent="0.3">
      <c r="I1" s="18" t="s">
        <v>51</v>
      </c>
      <c r="J1" s="17" t="s">
        <v>69</v>
      </c>
    </row>
    <row r="2" spans="1:11" x14ac:dyDescent="0.3">
      <c r="A2" s="18" t="s">
        <v>51</v>
      </c>
      <c r="B2" t="s">
        <v>61</v>
      </c>
      <c r="I2" s="20" t="s">
        <v>26</v>
      </c>
      <c r="J2" s="17">
        <v>0.8</v>
      </c>
    </row>
    <row r="3" spans="1:11" x14ac:dyDescent="0.3">
      <c r="A3" s="20">
        <v>30</v>
      </c>
      <c r="B3">
        <v>864</v>
      </c>
      <c r="I3" s="20" t="s">
        <v>27</v>
      </c>
      <c r="J3" s="17">
        <v>0.7</v>
      </c>
    </row>
    <row r="4" spans="1:11" x14ac:dyDescent="0.3">
      <c r="A4" s="20">
        <v>32</v>
      </c>
      <c r="B4">
        <v>123</v>
      </c>
      <c r="I4" s="20" t="s">
        <v>28</v>
      </c>
      <c r="J4" s="17">
        <v>0.55000000000000004</v>
      </c>
    </row>
    <row r="5" spans="1:11" x14ac:dyDescent="0.3">
      <c r="A5" s="20">
        <v>33</v>
      </c>
      <c r="B5">
        <v>14</v>
      </c>
      <c r="I5" s="20" t="s">
        <v>29</v>
      </c>
      <c r="J5" s="17">
        <v>0.9</v>
      </c>
    </row>
    <row r="6" spans="1:11" x14ac:dyDescent="0.3">
      <c r="A6" s="20">
        <v>34</v>
      </c>
      <c r="B6">
        <v>29</v>
      </c>
      <c r="I6" s="20" t="s">
        <v>30</v>
      </c>
      <c r="J6" s="17">
        <v>0.6</v>
      </c>
    </row>
    <row r="7" spans="1:11" x14ac:dyDescent="0.3">
      <c r="A7" s="20">
        <v>35</v>
      </c>
      <c r="B7">
        <v>278</v>
      </c>
      <c r="I7" s="20" t="s">
        <v>31</v>
      </c>
      <c r="J7" s="17">
        <v>0.7</v>
      </c>
    </row>
    <row r="8" spans="1:11" x14ac:dyDescent="0.3">
      <c r="A8" s="20">
        <v>39</v>
      </c>
      <c r="B8">
        <v>164</v>
      </c>
      <c r="I8" s="20" t="s">
        <v>32</v>
      </c>
      <c r="J8" s="17">
        <v>0.7</v>
      </c>
    </row>
    <row r="9" spans="1:11" x14ac:dyDescent="0.3">
      <c r="A9" s="20">
        <v>40</v>
      </c>
      <c r="B9">
        <v>30</v>
      </c>
      <c r="I9" s="20" t="s">
        <v>33</v>
      </c>
      <c r="J9" s="17">
        <v>0.4</v>
      </c>
    </row>
    <row r="10" spans="1:11" x14ac:dyDescent="0.3">
      <c r="A10" s="20">
        <v>41</v>
      </c>
      <c r="B10">
        <v>233</v>
      </c>
      <c r="I10" s="20" t="s">
        <v>34</v>
      </c>
      <c r="J10" s="17">
        <v>0.2</v>
      </c>
    </row>
    <row r="11" spans="1:11" x14ac:dyDescent="0.3">
      <c r="A11" s="20" t="s">
        <v>52</v>
      </c>
      <c r="B11">
        <v>1735</v>
      </c>
      <c r="I11" s="20" t="s">
        <v>35</v>
      </c>
      <c r="J11" s="17">
        <v>0.9</v>
      </c>
    </row>
    <row r="12" spans="1:11" x14ac:dyDescent="0.3">
      <c r="I12" s="20" t="s">
        <v>36</v>
      </c>
      <c r="J12" s="17">
        <v>1</v>
      </c>
    </row>
    <row r="13" spans="1:11" x14ac:dyDescent="0.3">
      <c r="I13" s="20" t="s">
        <v>37</v>
      </c>
      <c r="J13" s="17">
        <v>1</v>
      </c>
    </row>
    <row r="14" spans="1:11" x14ac:dyDescent="0.3">
      <c r="A14" s="18" t="s">
        <v>51</v>
      </c>
      <c r="B14" s="17" t="s">
        <v>68</v>
      </c>
      <c r="I14" s="20" t="s">
        <v>52</v>
      </c>
      <c r="J14" s="17">
        <v>8.4500000000000011</v>
      </c>
    </row>
    <row r="15" spans="1:11" x14ac:dyDescent="0.3">
      <c r="A15" s="20" t="s">
        <v>26</v>
      </c>
      <c r="B15" s="17">
        <v>0.12</v>
      </c>
    </row>
    <row r="16" spans="1:11" x14ac:dyDescent="0.3">
      <c r="A16" s="20" t="s">
        <v>27</v>
      </c>
      <c r="B16" s="17">
        <v>0.123</v>
      </c>
      <c r="I16" s="18" t="s">
        <v>51</v>
      </c>
      <c r="J16" t="s">
        <v>70</v>
      </c>
      <c r="K16" t="s">
        <v>71</v>
      </c>
    </row>
    <row r="17" spans="1:11" x14ac:dyDescent="0.3">
      <c r="A17" s="20" t="s">
        <v>28</v>
      </c>
      <c r="B17" s="17">
        <v>0.13</v>
      </c>
      <c r="I17" s="20">
        <v>5</v>
      </c>
      <c r="J17" s="17">
        <v>0.74</v>
      </c>
      <c r="K17" s="17">
        <v>0.8</v>
      </c>
    </row>
    <row r="18" spans="1:11" x14ac:dyDescent="0.3">
      <c r="A18" s="20" t="s">
        <v>29</v>
      </c>
      <c r="B18" s="17">
        <v>0.14000000000000001</v>
      </c>
      <c r="I18" s="20">
        <v>19</v>
      </c>
      <c r="J18" s="17">
        <v>0.7</v>
      </c>
      <c r="K18" s="17">
        <v>0.4</v>
      </c>
    </row>
    <row r="19" spans="1:11" x14ac:dyDescent="0.3">
      <c r="A19" s="20" t="s">
        <v>30</v>
      </c>
      <c r="B19" s="17">
        <v>0.12</v>
      </c>
      <c r="I19" s="20">
        <v>40</v>
      </c>
      <c r="J19" s="17">
        <v>0.85</v>
      </c>
      <c r="K19" s="17">
        <v>0.55000000000000004</v>
      </c>
    </row>
    <row r="20" spans="1:11" x14ac:dyDescent="0.3">
      <c r="A20" s="20" t="s">
        <v>31</v>
      </c>
      <c r="B20" s="17">
        <v>0.13</v>
      </c>
      <c r="I20" s="20">
        <v>45</v>
      </c>
      <c r="J20" s="17">
        <v>0.8</v>
      </c>
      <c r="K20" s="17">
        <v>0.7</v>
      </c>
    </row>
    <row r="21" spans="1:11" x14ac:dyDescent="0.3">
      <c r="A21" s="20" t="s">
        <v>32</v>
      </c>
      <c r="B21" s="17">
        <v>0.19</v>
      </c>
      <c r="I21" s="20">
        <v>53</v>
      </c>
      <c r="J21" s="17">
        <v>0.77</v>
      </c>
      <c r="K21" s="17">
        <v>0.54</v>
      </c>
    </row>
    <row r="22" spans="1:11" x14ac:dyDescent="0.3">
      <c r="A22" s="20" t="s">
        <v>33</v>
      </c>
      <c r="B22" s="17">
        <v>0.18</v>
      </c>
      <c r="I22" s="20">
        <v>58</v>
      </c>
      <c r="J22" s="17">
        <v>0.7</v>
      </c>
      <c r="K22" s="17">
        <v>0.6</v>
      </c>
    </row>
    <row r="23" spans="1:11" x14ac:dyDescent="0.3">
      <c r="A23" s="20" t="s">
        <v>34</v>
      </c>
      <c r="B23" s="17">
        <v>0.16</v>
      </c>
      <c r="I23" s="20">
        <v>73</v>
      </c>
      <c r="J23" s="17">
        <v>0.8</v>
      </c>
      <c r="K23" s="17">
        <v>0.5</v>
      </c>
    </row>
    <row r="24" spans="1:11" x14ac:dyDescent="0.3">
      <c r="A24" s="20" t="s">
        <v>35</v>
      </c>
      <c r="B24" s="17">
        <v>0.15</v>
      </c>
      <c r="I24" s="20">
        <v>75</v>
      </c>
      <c r="J24" s="17">
        <v>0.7</v>
      </c>
      <c r="K24" s="17">
        <v>0.89</v>
      </c>
    </row>
    <row r="25" spans="1:11" x14ac:dyDescent="0.3">
      <c r="A25" s="20" t="s">
        <v>36</v>
      </c>
      <c r="B25" s="17">
        <v>0.12</v>
      </c>
      <c r="I25" s="20">
        <v>101</v>
      </c>
      <c r="J25" s="17">
        <v>0.76</v>
      </c>
      <c r="K25" s="17">
        <v>0.67</v>
      </c>
    </row>
    <row r="26" spans="1:11" x14ac:dyDescent="0.3">
      <c r="A26" s="20" t="s">
        <v>37</v>
      </c>
      <c r="B26" s="17">
        <v>0.16</v>
      </c>
      <c r="I26" s="20">
        <v>127</v>
      </c>
      <c r="J26" s="17">
        <v>0.54</v>
      </c>
      <c r="K26" s="17">
        <v>0.76</v>
      </c>
    </row>
    <row r="27" spans="1:11" x14ac:dyDescent="0.3">
      <c r="A27" s="20" t="s">
        <v>52</v>
      </c>
      <c r="B27" s="17">
        <v>1.7229999999999996</v>
      </c>
      <c r="I27" s="20">
        <v>158</v>
      </c>
      <c r="J27" s="17">
        <v>0.76</v>
      </c>
      <c r="K27" s="17">
        <v>0.97</v>
      </c>
    </row>
    <row r="28" spans="1:11" x14ac:dyDescent="0.3">
      <c r="I28" s="20">
        <v>191</v>
      </c>
      <c r="J28" s="17">
        <v>0.9</v>
      </c>
      <c r="K28" s="17">
        <v>0.87</v>
      </c>
    </row>
    <row r="29" spans="1:11" x14ac:dyDescent="0.3">
      <c r="I29" s="20" t="s">
        <v>52</v>
      </c>
      <c r="J29" s="17">
        <v>9.02</v>
      </c>
      <c r="K29" s="17">
        <v>8.2499999999999982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A44DC-FF10-4861-8E84-C57189878C53}">
  <dimension ref="A1"/>
  <sheetViews>
    <sheetView tabSelected="1" zoomScale="73" zoomScaleNormal="73" workbookViewId="0">
      <selection activeCell="D44" sqref="D44"/>
    </sheetView>
  </sheetViews>
  <sheetFormatPr defaultRowHeight="14.4" x14ac:dyDescent="0.3"/>
  <cols>
    <col min="1" max="16384" width="8.88671875" style="2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5C597-859F-4903-AF23-259806BD7D64}">
  <dimension ref="B2:AI15"/>
  <sheetViews>
    <sheetView showGridLines="0" zoomScale="80" zoomScaleNormal="80" workbookViewId="0">
      <selection activeCell="H2" sqref="H2"/>
    </sheetView>
  </sheetViews>
  <sheetFormatPr defaultRowHeight="14.4" x14ac:dyDescent="0.3"/>
  <cols>
    <col min="1" max="1" width="2.6640625" customWidth="1"/>
    <col min="2" max="2" width="10.109375" customWidth="1"/>
    <col min="3" max="9" width="10.6640625" customWidth="1"/>
    <col min="10" max="11" width="12.44140625" bestFit="1" customWidth="1"/>
    <col min="12" max="12" width="12.109375" bestFit="1" customWidth="1"/>
    <col min="14" max="16" width="10.6640625" customWidth="1"/>
    <col min="17" max="17" width="12.77734375" customWidth="1"/>
    <col min="18" max="18" width="13.109375" customWidth="1"/>
    <col min="19" max="19" width="18.6640625" customWidth="1"/>
    <col min="20" max="20" width="13.5546875" customWidth="1"/>
    <col min="21" max="21" width="13.44140625" bestFit="1" customWidth="1"/>
    <col min="22" max="22" width="15.44140625" customWidth="1"/>
    <col min="23" max="23" width="10.6640625" customWidth="1"/>
    <col min="24" max="24" width="13.77734375" customWidth="1"/>
    <col min="25" max="25" width="10.6640625" customWidth="1"/>
    <col min="26" max="26" width="13.88671875" customWidth="1"/>
    <col min="27" max="31" width="10.6640625" customWidth="1"/>
    <col min="32" max="32" width="11" customWidth="1"/>
    <col min="33" max="33" width="13.5546875" customWidth="1"/>
    <col min="34" max="39" width="10.6640625" customWidth="1"/>
  </cols>
  <sheetData>
    <row r="2" spans="2:35" s="2" customFormat="1" ht="49.8" customHeight="1" x14ac:dyDescent="0.3">
      <c r="B2" s="2" t="s">
        <v>40</v>
      </c>
      <c r="C2" s="2" t="s">
        <v>38</v>
      </c>
      <c r="D2" s="2" t="s">
        <v>39</v>
      </c>
      <c r="E2" s="2" t="s">
        <v>5</v>
      </c>
      <c r="F2" s="2" t="s">
        <v>10</v>
      </c>
      <c r="G2" s="2" t="s">
        <v>0</v>
      </c>
      <c r="H2" s="2" t="s">
        <v>1</v>
      </c>
      <c r="I2" s="2" t="s">
        <v>2</v>
      </c>
      <c r="J2" s="2" t="s">
        <v>3</v>
      </c>
      <c r="K2" s="2" t="s">
        <v>4</v>
      </c>
      <c r="L2" s="2" t="s">
        <v>47</v>
      </c>
      <c r="M2" s="2" t="s">
        <v>6</v>
      </c>
      <c r="N2" s="2" t="s">
        <v>7</v>
      </c>
      <c r="O2" s="2" t="s">
        <v>41</v>
      </c>
      <c r="P2" s="2" t="s">
        <v>42</v>
      </c>
      <c r="Q2" s="2" t="s">
        <v>8</v>
      </c>
      <c r="R2" s="2" t="s">
        <v>9</v>
      </c>
      <c r="S2" s="2" t="s">
        <v>43</v>
      </c>
      <c r="T2" s="2" t="s">
        <v>11</v>
      </c>
      <c r="U2" s="2" t="s">
        <v>12</v>
      </c>
      <c r="V2" s="2" t="s">
        <v>14</v>
      </c>
      <c r="W2" s="2" t="s">
        <v>15</v>
      </c>
      <c r="X2" s="2" t="s">
        <v>16</v>
      </c>
      <c r="Y2" s="2" t="s">
        <v>17</v>
      </c>
      <c r="Z2" s="2" t="s">
        <v>18</v>
      </c>
      <c r="AA2" s="2" t="s">
        <v>19</v>
      </c>
      <c r="AB2" s="2" t="s">
        <v>22</v>
      </c>
      <c r="AC2" s="2" t="s">
        <v>44</v>
      </c>
      <c r="AD2" s="2" t="s">
        <v>45</v>
      </c>
      <c r="AE2" s="2" t="s">
        <v>20</v>
      </c>
      <c r="AF2" s="2" t="s">
        <v>21</v>
      </c>
      <c r="AG2" s="2" t="s">
        <v>23</v>
      </c>
      <c r="AH2" s="2" t="s">
        <v>24</v>
      </c>
      <c r="AI2" s="2" t="s">
        <v>25</v>
      </c>
    </row>
    <row r="3" spans="2:35" s="2" customFormat="1" ht="29.4" customHeight="1" x14ac:dyDescent="0.3">
      <c r="B3" s="3" t="s">
        <v>26</v>
      </c>
      <c r="C3" s="7">
        <v>1000</v>
      </c>
      <c r="D3" s="7">
        <v>2700</v>
      </c>
      <c r="E3" s="7">
        <f>MainData[[#This Row],[Non-Sauids]]+MainData[[#This Row],[Saudis]]</f>
        <v>3700</v>
      </c>
      <c r="F3" s="8">
        <f>MainData[[#This Row],[Saudis]]/MainData[[#This Row],['# Headcount]]</f>
        <v>0.27027027027027029</v>
      </c>
      <c r="G3" s="3">
        <v>33</v>
      </c>
      <c r="H3" s="3">
        <v>33</v>
      </c>
      <c r="I3" s="3">
        <v>120</v>
      </c>
      <c r="J3" s="12">
        <v>887209</v>
      </c>
      <c r="K3" s="12">
        <v>150000</v>
      </c>
      <c r="L3" s="12">
        <v>12009400</v>
      </c>
      <c r="M3" s="3">
        <v>22</v>
      </c>
      <c r="N3" s="3">
        <v>10</v>
      </c>
      <c r="O3" s="3">
        <v>40</v>
      </c>
      <c r="P3" s="3">
        <v>50</v>
      </c>
      <c r="Q3" s="3">
        <v>50</v>
      </c>
      <c r="R3" s="3">
        <v>300</v>
      </c>
      <c r="S3" s="3">
        <v>100</v>
      </c>
      <c r="T3" s="3">
        <v>10</v>
      </c>
      <c r="U3" s="3">
        <v>12</v>
      </c>
      <c r="V3" s="3">
        <v>3</v>
      </c>
      <c r="W3" s="15">
        <v>0.12</v>
      </c>
      <c r="X3" s="3">
        <v>1</v>
      </c>
      <c r="Y3" s="3">
        <v>32</v>
      </c>
      <c r="Z3" s="8">
        <v>0.8</v>
      </c>
      <c r="AA3" s="3">
        <v>120</v>
      </c>
      <c r="AB3" s="3">
        <v>45</v>
      </c>
      <c r="AC3" s="3">
        <v>320</v>
      </c>
      <c r="AD3" s="8">
        <v>0.18</v>
      </c>
      <c r="AE3" s="8">
        <v>0.1</v>
      </c>
      <c r="AF3" s="8">
        <v>0.22</v>
      </c>
      <c r="AG3" s="8">
        <v>0.8</v>
      </c>
      <c r="AH3" s="8">
        <v>0.7</v>
      </c>
      <c r="AI3" s="8">
        <v>0.22</v>
      </c>
    </row>
    <row r="4" spans="2:35" s="2" customFormat="1" ht="29.4" customHeight="1" x14ac:dyDescent="0.3">
      <c r="B4" s="3" t="s">
        <v>27</v>
      </c>
      <c r="C4" s="7">
        <v>1100</v>
      </c>
      <c r="D4" s="7">
        <v>2800</v>
      </c>
      <c r="E4" s="7">
        <f>MainData[[#This Row],[Non-Sauids]]+MainData[[#This Row],[Saudis]]</f>
        <v>3900</v>
      </c>
      <c r="F4" s="8">
        <f>MainData[[#This Row],[Saudis]]/MainData[[#This Row],['# Headcount]]</f>
        <v>0.28205128205128205</v>
      </c>
      <c r="G4" s="3">
        <v>12</v>
      </c>
      <c r="H4" s="3">
        <v>50</v>
      </c>
      <c r="I4" s="3">
        <v>300</v>
      </c>
      <c r="J4" s="12">
        <v>665840</v>
      </c>
      <c r="K4" s="12">
        <v>550403</v>
      </c>
      <c r="L4" s="12">
        <v>13004030</v>
      </c>
      <c r="M4" s="3">
        <v>14</v>
      </c>
      <c r="N4" s="3">
        <v>30</v>
      </c>
      <c r="O4" s="3">
        <v>150</v>
      </c>
      <c r="P4" s="3">
        <v>55</v>
      </c>
      <c r="Q4" s="3">
        <v>40</v>
      </c>
      <c r="R4" s="3">
        <v>250</v>
      </c>
      <c r="S4" s="3">
        <v>90</v>
      </c>
      <c r="T4" s="3">
        <v>2</v>
      </c>
      <c r="U4" s="3">
        <v>5</v>
      </c>
      <c r="V4" s="3">
        <v>12</v>
      </c>
      <c r="W4" s="15">
        <v>0.123</v>
      </c>
      <c r="X4" s="3">
        <v>1</v>
      </c>
      <c r="Y4" s="3">
        <v>33</v>
      </c>
      <c r="Z4" s="8">
        <v>0.7</v>
      </c>
      <c r="AA4" s="3">
        <v>100</v>
      </c>
      <c r="AB4" s="3">
        <v>40</v>
      </c>
      <c r="AC4" s="3">
        <v>320</v>
      </c>
      <c r="AD4" s="8">
        <v>0.33</v>
      </c>
      <c r="AE4" s="8">
        <v>0.1</v>
      </c>
      <c r="AF4" s="8">
        <v>0.19</v>
      </c>
      <c r="AG4" s="8">
        <v>0.85</v>
      </c>
      <c r="AH4" s="8">
        <v>0.55000000000000004</v>
      </c>
      <c r="AI4" s="8">
        <v>0.5</v>
      </c>
    </row>
    <row r="5" spans="2:35" s="2" customFormat="1" ht="29.4" customHeight="1" x14ac:dyDescent="0.3">
      <c r="B5" s="3" t="s">
        <v>28</v>
      </c>
      <c r="C5" s="7">
        <v>1101</v>
      </c>
      <c r="D5" s="7">
        <v>2900</v>
      </c>
      <c r="E5" s="7">
        <f>MainData[[#This Row],[Non-Sauids]]+MainData[[#This Row],[Saudis]]</f>
        <v>4001</v>
      </c>
      <c r="F5" s="8">
        <f>MainData[[#This Row],[Saudis]]/MainData[[#This Row],['# Headcount]]</f>
        <v>0.27518120469882529</v>
      </c>
      <c r="G5" s="3">
        <v>2</v>
      </c>
      <c r="H5" s="3">
        <v>120</v>
      </c>
      <c r="I5" s="3">
        <v>450</v>
      </c>
      <c r="J5" s="12">
        <v>398485</v>
      </c>
      <c r="K5" s="12">
        <v>1223002</v>
      </c>
      <c r="L5" s="12">
        <v>12902030</v>
      </c>
      <c r="M5" s="3">
        <v>29</v>
      </c>
      <c r="N5" s="3">
        <v>4</v>
      </c>
      <c r="O5" s="3">
        <v>160</v>
      </c>
      <c r="P5" s="3">
        <v>60</v>
      </c>
      <c r="Q5" s="3">
        <v>30</v>
      </c>
      <c r="R5" s="3">
        <v>100</v>
      </c>
      <c r="S5" s="3">
        <v>30</v>
      </c>
      <c r="T5" s="3">
        <v>1</v>
      </c>
      <c r="U5" s="3">
        <v>2</v>
      </c>
      <c r="V5" s="3">
        <v>33</v>
      </c>
      <c r="W5" s="15">
        <v>0.13</v>
      </c>
      <c r="X5" s="3">
        <v>22</v>
      </c>
      <c r="Y5" s="3">
        <v>34</v>
      </c>
      <c r="Z5" s="8">
        <v>0.55000000000000004</v>
      </c>
      <c r="AA5" s="3">
        <v>92</v>
      </c>
      <c r="AB5" s="3">
        <v>19</v>
      </c>
      <c r="AC5" s="3">
        <v>290</v>
      </c>
      <c r="AD5" s="8">
        <v>0.45</v>
      </c>
      <c r="AE5" s="8">
        <v>0.12</v>
      </c>
      <c r="AF5" s="8">
        <v>0.15</v>
      </c>
      <c r="AG5" s="8">
        <v>0.7</v>
      </c>
      <c r="AH5" s="8">
        <v>0.4</v>
      </c>
      <c r="AI5" s="8">
        <v>0.6</v>
      </c>
    </row>
    <row r="6" spans="2:35" s="2" customFormat="1" ht="29.4" customHeight="1" x14ac:dyDescent="0.3">
      <c r="B6" s="3" t="s">
        <v>29</v>
      </c>
      <c r="C6" s="7">
        <v>900</v>
      </c>
      <c r="D6" s="7">
        <v>3000</v>
      </c>
      <c r="E6" s="7">
        <f>MainData[[#This Row],[Non-Sauids]]+MainData[[#This Row],[Saudis]]</f>
        <v>3900</v>
      </c>
      <c r="F6" s="8">
        <f>MainData[[#This Row],[Saudis]]/MainData[[#This Row],['# Headcount]]</f>
        <v>0.23076923076923078</v>
      </c>
      <c r="G6" s="3">
        <v>11</v>
      </c>
      <c r="H6" s="3">
        <v>70</v>
      </c>
      <c r="I6" s="3">
        <v>100</v>
      </c>
      <c r="J6" s="12">
        <v>150003</v>
      </c>
      <c r="K6" s="12">
        <v>900540</v>
      </c>
      <c r="L6" s="12">
        <f>L5+12990</f>
        <v>12915020</v>
      </c>
      <c r="M6" s="3">
        <v>30</v>
      </c>
      <c r="N6" s="3">
        <v>50</v>
      </c>
      <c r="O6" s="3">
        <v>30</v>
      </c>
      <c r="P6" s="3">
        <v>40</v>
      </c>
      <c r="Q6" s="3">
        <v>10</v>
      </c>
      <c r="R6" s="3">
        <v>150</v>
      </c>
      <c r="S6" s="3">
        <v>11</v>
      </c>
      <c r="T6" s="3">
        <v>0</v>
      </c>
      <c r="U6" s="3">
        <v>2</v>
      </c>
      <c r="V6" s="3">
        <v>2</v>
      </c>
      <c r="W6" s="15">
        <v>0.14000000000000001</v>
      </c>
      <c r="X6" s="3">
        <v>12</v>
      </c>
      <c r="Y6" s="3">
        <v>40</v>
      </c>
      <c r="Z6" s="8">
        <v>0.9</v>
      </c>
      <c r="AA6" s="3">
        <v>76</v>
      </c>
      <c r="AB6" s="3">
        <v>5</v>
      </c>
      <c r="AC6" s="3">
        <v>290</v>
      </c>
      <c r="AD6" s="8">
        <v>0.6</v>
      </c>
      <c r="AE6" s="8">
        <v>0.11</v>
      </c>
      <c r="AF6" s="8">
        <v>0.12</v>
      </c>
      <c r="AG6" s="8">
        <v>0.74</v>
      </c>
      <c r="AH6" s="8">
        <v>0.8</v>
      </c>
      <c r="AI6" s="8">
        <v>0.9</v>
      </c>
    </row>
    <row r="7" spans="2:35" s="2" customFormat="1" ht="29.4" customHeight="1" x14ac:dyDescent="0.3">
      <c r="B7" s="3" t="s">
        <v>30</v>
      </c>
      <c r="C7" s="7">
        <v>1110</v>
      </c>
      <c r="D7" s="7">
        <v>2700</v>
      </c>
      <c r="E7" s="7">
        <f>MainData[[#This Row],[Non-Sauids]]+MainData[[#This Row],[Saudis]]</f>
        <v>3810</v>
      </c>
      <c r="F7" s="8">
        <f>MainData[[#This Row],[Saudis]]/MainData[[#This Row],['# Headcount]]</f>
        <v>0.29133858267716534</v>
      </c>
      <c r="G7" s="3">
        <v>14</v>
      </c>
      <c r="H7" s="3">
        <v>26</v>
      </c>
      <c r="I7" s="3">
        <v>11</v>
      </c>
      <c r="J7" s="12">
        <v>433779</v>
      </c>
      <c r="K7" s="12">
        <v>248723</v>
      </c>
      <c r="L7" s="12">
        <v>13669607</v>
      </c>
      <c r="M7" s="3">
        <v>233</v>
      </c>
      <c r="N7" s="3">
        <v>107</v>
      </c>
      <c r="O7" s="3">
        <v>158</v>
      </c>
      <c r="P7" s="3">
        <v>197</v>
      </c>
      <c r="Q7" s="3">
        <v>80</v>
      </c>
      <c r="R7" s="3">
        <v>167</v>
      </c>
      <c r="S7" s="3">
        <v>76</v>
      </c>
      <c r="T7" s="3">
        <v>61</v>
      </c>
      <c r="U7" s="3">
        <v>58</v>
      </c>
      <c r="V7" s="3">
        <v>166</v>
      </c>
      <c r="W7" s="15">
        <v>0.12</v>
      </c>
      <c r="X7" s="3">
        <v>16</v>
      </c>
      <c r="Y7" s="3">
        <v>41</v>
      </c>
      <c r="Z7" s="8">
        <v>0.6</v>
      </c>
      <c r="AA7" s="3">
        <v>84</v>
      </c>
      <c r="AB7" s="3">
        <v>75</v>
      </c>
      <c r="AC7" s="3">
        <v>281</v>
      </c>
      <c r="AD7" s="8">
        <v>0.6</v>
      </c>
      <c r="AE7" s="8">
        <v>0.12</v>
      </c>
      <c r="AF7" s="8">
        <v>0.12</v>
      </c>
      <c r="AG7" s="8">
        <v>0.7</v>
      </c>
      <c r="AH7" s="8">
        <v>0.89</v>
      </c>
      <c r="AI7" s="8">
        <v>0.9</v>
      </c>
    </row>
    <row r="8" spans="2:35" s="2" customFormat="1" ht="29.4" customHeight="1" x14ac:dyDescent="0.3">
      <c r="B8" s="3" t="s">
        <v>31</v>
      </c>
      <c r="C8" s="7">
        <v>1000</v>
      </c>
      <c r="D8" s="7">
        <v>2713</v>
      </c>
      <c r="E8" s="7">
        <f>MainData[[#This Row],[Non-Sauids]]+MainData[[#This Row],[Saudis]]</f>
        <v>3713</v>
      </c>
      <c r="F8" s="8">
        <f>MainData[[#This Row],[Saudis]]/MainData[[#This Row],['# Headcount]]</f>
        <v>0.26932399676811203</v>
      </c>
      <c r="G8" s="3">
        <v>33</v>
      </c>
      <c r="H8" s="3">
        <v>94</v>
      </c>
      <c r="I8" s="3">
        <v>75</v>
      </c>
      <c r="J8" s="12">
        <v>516453</v>
      </c>
      <c r="K8" s="12">
        <v>207989</v>
      </c>
      <c r="L8" s="12">
        <v>14397345</v>
      </c>
      <c r="M8" s="3">
        <v>164</v>
      </c>
      <c r="N8" s="3">
        <v>232</v>
      </c>
      <c r="O8" s="3">
        <v>235</v>
      </c>
      <c r="P8" s="3">
        <v>59</v>
      </c>
      <c r="Q8" s="3">
        <v>80</v>
      </c>
      <c r="R8" s="3">
        <v>59</v>
      </c>
      <c r="S8" s="3">
        <v>288</v>
      </c>
      <c r="T8" s="3">
        <v>153</v>
      </c>
      <c r="U8" s="3">
        <v>186</v>
      </c>
      <c r="V8" s="3">
        <v>163</v>
      </c>
      <c r="W8" s="15">
        <v>0.13</v>
      </c>
      <c r="X8" s="3">
        <v>9</v>
      </c>
      <c r="Y8" s="3">
        <v>39</v>
      </c>
      <c r="Z8" s="8">
        <v>0.7</v>
      </c>
      <c r="AA8" s="3">
        <v>85</v>
      </c>
      <c r="AB8" s="3">
        <v>58</v>
      </c>
      <c r="AC8" s="3">
        <v>337</v>
      </c>
      <c r="AD8" s="8">
        <v>0.66</v>
      </c>
      <c r="AE8" s="8">
        <v>0.19</v>
      </c>
      <c r="AF8" s="8">
        <v>0.12</v>
      </c>
      <c r="AG8" s="8">
        <v>0.7</v>
      </c>
      <c r="AH8" s="8">
        <v>0.6</v>
      </c>
      <c r="AI8" s="8">
        <v>0.87</v>
      </c>
    </row>
    <row r="9" spans="2:35" s="2" customFormat="1" ht="29.4" customHeight="1" x14ac:dyDescent="0.3">
      <c r="B9" s="3" t="s">
        <v>32</v>
      </c>
      <c r="C9" s="7">
        <v>1009</v>
      </c>
      <c r="D9" s="7">
        <v>2710</v>
      </c>
      <c r="E9" s="7">
        <f>MainData[[#This Row],[Non-Sauids]]+MainData[[#This Row],[Saudis]]</f>
        <v>3719</v>
      </c>
      <c r="F9" s="8">
        <f>MainData[[#This Row],[Saudis]]/MainData[[#This Row],['# Headcount]]</f>
        <v>0.27130949179887065</v>
      </c>
      <c r="G9" s="3">
        <v>98</v>
      </c>
      <c r="H9" s="3">
        <v>66</v>
      </c>
      <c r="I9" s="3">
        <v>35</v>
      </c>
      <c r="J9" s="12">
        <v>789394</v>
      </c>
      <c r="K9" s="12">
        <v>245972</v>
      </c>
      <c r="L9" s="12">
        <v>10881281</v>
      </c>
      <c r="M9" s="3">
        <v>278</v>
      </c>
      <c r="N9" s="3">
        <v>99</v>
      </c>
      <c r="O9" s="3">
        <v>168</v>
      </c>
      <c r="P9" s="3">
        <v>30</v>
      </c>
      <c r="Q9" s="3">
        <v>67</v>
      </c>
      <c r="R9" s="3">
        <v>201</v>
      </c>
      <c r="S9" s="3">
        <v>180</v>
      </c>
      <c r="T9" s="3">
        <v>30</v>
      </c>
      <c r="U9" s="3">
        <v>54</v>
      </c>
      <c r="V9" s="3">
        <v>154</v>
      </c>
      <c r="W9" s="15">
        <v>0.19</v>
      </c>
      <c r="X9" s="3">
        <v>6</v>
      </c>
      <c r="Y9" s="3">
        <v>35</v>
      </c>
      <c r="Z9" s="8">
        <v>0.7</v>
      </c>
      <c r="AA9" s="3">
        <v>114</v>
      </c>
      <c r="AB9" s="3">
        <v>73</v>
      </c>
      <c r="AC9" s="3">
        <v>345</v>
      </c>
      <c r="AD9" s="8">
        <v>0.7</v>
      </c>
      <c r="AE9" s="8">
        <v>0.1</v>
      </c>
      <c r="AF9" s="8">
        <v>0.12</v>
      </c>
      <c r="AG9" s="8">
        <v>0.8</v>
      </c>
      <c r="AH9" s="8">
        <v>0.5</v>
      </c>
      <c r="AI9" s="8">
        <v>0.87</v>
      </c>
    </row>
    <row r="10" spans="2:35" s="2" customFormat="1" ht="29.4" customHeight="1" x14ac:dyDescent="0.3">
      <c r="B10" s="3" t="s">
        <v>33</v>
      </c>
      <c r="C10" s="7">
        <v>1003</v>
      </c>
      <c r="D10" s="7">
        <v>2600</v>
      </c>
      <c r="E10" s="7">
        <f>MainData[[#This Row],[Non-Sauids]]+MainData[[#This Row],[Saudis]]</f>
        <v>3603</v>
      </c>
      <c r="F10" s="8">
        <f>MainData[[#This Row],[Saudis]]/MainData[[#This Row],['# Headcount]]</f>
        <v>0.27837912850402441</v>
      </c>
      <c r="G10" s="3">
        <v>80</v>
      </c>
      <c r="H10" s="3">
        <v>46</v>
      </c>
      <c r="I10" s="3">
        <v>71</v>
      </c>
      <c r="J10" s="12">
        <v>407225</v>
      </c>
      <c r="K10" s="12">
        <v>798950</v>
      </c>
      <c r="L10" s="12">
        <v>12046951</v>
      </c>
      <c r="M10" s="3">
        <v>101</v>
      </c>
      <c r="N10" s="3">
        <v>70</v>
      </c>
      <c r="O10" s="3">
        <v>165</v>
      </c>
      <c r="P10" s="3">
        <v>166</v>
      </c>
      <c r="Q10" s="3">
        <v>56</v>
      </c>
      <c r="R10" s="3">
        <v>213</v>
      </c>
      <c r="S10" s="3">
        <v>260</v>
      </c>
      <c r="T10" s="3">
        <v>32</v>
      </c>
      <c r="U10" s="3">
        <v>278</v>
      </c>
      <c r="V10" s="3">
        <v>214</v>
      </c>
      <c r="W10" s="15">
        <v>0.18</v>
      </c>
      <c r="X10" s="3">
        <v>10</v>
      </c>
      <c r="Y10" s="3">
        <v>32</v>
      </c>
      <c r="Z10" s="8">
        <v>0.4</v>
      </c>
      <c r="AA10" s="3">
        <v>51</v>
      </c>
      <c r="AB10" s="3">
        <v>158</v>
      </c>
      <c r="AC10" s="3">
        <v>308</v>
      </c>
      <c r="AD10" s="8">
        <v>0.71</v>
      </c>
      <c r="AE10" s="8">
        <v>0.04</v>
      </c>
      <c r="AF10" s="8">
        <v>0.19</v>
      </c>
      <c r="AG10" s="8">
        <v>0.76</v>
      </c>
      <c r="AH10" s="8">
        <v>0.97</v>
      </c>
      <c r="AI10" s="8">
        <v>0.89</v>
      </c>
    </row>
    <row r="11" spans="2:35" s="2" customFormat="1" ht="29.4" customHeight="1" x14ac:dyDescent="0.3">
      <c r="B11" s="3" t="s">
        <v>34</v>
      </c>
      <c r="C11" s="7">
        <v>980</v>
      </c>
      <c r="D11" s="7">
        <v>2500</v>
      </c>
      <c r="E11" s="7">
        <f>MainData[[#This Row],[Non-Sauids]]+MainData[[#This Row],[Saudis]]</f>
        <v>3480</v>
      </c>
      <c r="F11" s="8">
        <f>MainData[[#This Row],[Saudis]]/MainData[[#This Row],['# Headcount]]</f>
        <v>0.28160919540229884</v>
      </c>
      <c r="G11" s="3">
        <v>60</v>
      </c>
      <c r="H11" s="3">
        <v>67</v>
      </c>
      <c r="I11" s="3">
        <v>55</v>
      </c>
      <c r="J11" s="12">
        <v>281429</v>
      </c>
      <c r="K11" s="12">
        <v>450543</v>
      </c>
      <c r="L11" s="12">
        <v>13066105</v>
      </c>
      <c r="M11" s="3">
        <v>183</v>
      </c>
      <c r="N11" s="3">
        <v>174</v>
      </c>
      <c r="O11" s="3">
        <v>83</v>
      </c>
      <c r="P11" s="3">
        <v>152</v>
      </c>
      <c r="Q11" s="3">
        <v>243</v>
      </c>
      <c r="R11" s="3">
        <v>95</v>
      </c>
      <c r="S11" s="3">
        <v>125</v>
      </c>
      <c r="T11" s="3">
        <v>236</v>
      </c>
      <c r="U11" s="3">
        <v>235</v>
      </c>
      <c r="V11" s="3">
        <v>145</v>
      </c>
      <c r="W11" s="15">
        <v>0.16</v>
      </c>
      <c r="X11" s="3">
        <v>9</v>
      </c>
      <c r="Y11" s="3">
        <v>30</v>
      </c>
      <c r="Z11" s="8">
        <v>0.2</v>
      </c>
      <c r="AA11" s="3">
        <v>160</v>
      </c>
      <c r="AB11" s="3">
        <v>127</v>
      </c>
      <c r="AC11" s="3">
        <v>307</v>
      </c>
      <c r="AD11" s="8">
        <v>0.71</v>
      </c>
      <c r="AE11" s="8">
        <v>0.08</v>
      </c>
      <c r="AF11" s="8">
        <v>0.2</v>
      </c>
      <c r="AG11" s="8">
        <v>0.54</v>
      </c>
      <c r="AH11" s="8">
        <v>0.76</v>
      </c>
      <c r="AI11" s="8">
        <v>0.87</v>
      </c>
    </row>
    <row r="12" spans="2:35" s="2" customFormat="1" ht="29.4" customHeight="1" x14ac:dyDescent="0.3">
      <c r="B12" s="3" t="s">
        <v>35</v>
      </c>
      <c r="C12" s="7">
        <v>930</v>
      </c>
      <c r="D12" s="7">
        <v>2400</v>
      </c>
      <c r="E12" s="7">
        <f>MainData[[#This Row],[Non-Sauids]]+MainData[[#This Row],[Saudis]]</f>
        <v>3330</v>
      </c>
      <c r="F12" s="8">
        <f>MainData[[#This Row],[Saudis]]/MainData[[#This Row],['# Headcount]]</f>
        <v>0.27927927927927926</v>
      </c>
      <c r="G12" s="3">
        <v>33</v>
      </c>
      <c r="H12" s="3">
        <v>27</v>
      </c>
      <c r="I12" s="3">
        <v>99</v>
      </c>
      <c r="J12" s="12">
        <v>730379</v>
      </c>
      <c r="K12" s="12">
        <v>330499</v>
      </c>
      <c r="L12" s="12">
        <v>14575876</v>
      </c>
      <c r="M12" s="3">
        <v>151</v>
      </c>
      <c r="N12" s="3">
        <v>62</v>
      </c>
      <c r="O12" s="3">
        <v>40</v>
      </c>
      <c r="P12" s="3">
        <v>274</v>
      </c>
      <c r="Q12" s="3">
        <v>230</v>
      </c>
      <c r="R12" s="3">
        <v>216</v>
      </c>
      <c r="S12" s="3">
        <v>237</v>
      </c>
      <c r="T12" s="3">
        <v>46</v>
      </c>
      <c r="U12" s="3">
        <v>283</v>
      </c>
      <c r="V12" s="3">
        <v>159</v>
      </c>
      <c r="W12" s="15">
        <v>0.15</v>
      </c>
      <c r="X12" s="3">
        <v>15</v>
      </c>
      <c r="Y12" s="3">
        <v>30</v>
      </c>
      <c r="Z12" s="8">
        <v>0.9</v>
      </c>
      <c r="AA12" s="3">
        <v>106</v>
      </c>
      <c r="AB12" s="3">
        <v>53</v>
      </c>
      <c r="AC12" s="3">
        <v>309</v>
      </c>
      <c r="AD12" s="8">
        <v>0.72</v>
      </c>
      <c r="AE12" s="8">
        <v>0.19</v>
      </c>
      <c r="AF12" s="8">
        <v>0.04</v>
      </c>
      <c r="AG12" s="8">
        <v>0.77</v>
      </c>
      <c r="AH12" s="8">
        <v>0.54</v>
      </c>
      <c r="AI12" s="8">
        <v>0.54</v>
      </c>
    </row>
    <row r="13" spans="2:35" s="2" customFormat="1" ht="29.4" customHeight="1" x14ac:dyDescent="0.3">
      <c r="B13" s="3" t="s">
        <v>36</v>
      </c>
      <c r="C13" s="7">
        <v>870</v>
      </c>
      <c r="D13" s="7">
        <v>2300</v>
      </c>
      <c r="E13" s="7">
        <f>MainData[[#This Row],[Non-Sauids]]+MainData[[#This Row],[Saudis]]</f>
        <v>3170</v>
      </c>
      <c r="F13" s="8">
        <f>MainData[[#This Row],[Saudis]]/MainData[[#This Row],['# Headcount]]</f>
        <v>0.27444794952681389</v>
      </c>
      <c r="G13" s="3">
        <v>28</v>
      </c>
      <c r="H13" s="3">
        <v>26</v>
      </c>
      <c r="I13" s="3">
        <v>77</v>
      </c>
      <c r="J13" s="12">
        <v>117709</v>
      </c>
      <c r="K13" s="12">
        <v>541242</v>
      </c>
      <c r="L13" s="12">
        <v>10588823</v>
      </c>
      <c r="M13" s="3">
        <v>300</v>
      </c>
      <c r="N13" s="3">
        <v>198</v>
      </c>
      <c r="O13" s="3">
        <v>287</v>
      </c>
      <c r="P13" s="3">
        <v>130</v>
      </c>
      <c r="Q13" s="3">
        <v>146</v>
      </c>
      <c r="R13" s="3">
        <v>269</v>
      </c>
      <c r="S13" s="3">
        <v>137</v>
      </c>
      <c r="T13" s="3">
        <v>53</v>
      </c>
      <c r="U13" s="3">
        <v>269</v>
      </c>
      <c r="V13" s="3">
        <v>61</v>
      </c>
      <c r="W13" s="15">
        <v>0.12</v>
      </c>
      <c r="X13" s="3">
        <v>15</v>
      </c>
      <c r="Y13" s="3">
        <v>30</v>
      </c>
      <c r="Z13" s="8">
        <v>1</v>
      </c>
      <c r="AA13" s="3">
        <v>151</v>
      </c>
      <c r="AB13" s="3">
        <v>101</v>
      </c>
      <c r="AC13" s="3">
        <v>311</v>
      </c>
      <c r="AD13" s="8">
        <v>0.8</v>
      </c>
      <c r="AE13" s="8">
        <v>0.2</v>
      </c>
      <c r="AF13" s="8">
        <v>0.05</v>
      </c>
      <c r="AG13" s="8">
        <v>0.76</v>
      </c>
      <c r="AH13" s="8">
        <v>0.67</v>
      </c>
      <c r="AI13" s="8">
        <v>0.78</v>
      </c>
    </row>
    <row r="14" spans="2:35" s="2" customFormat="1" ht="29.4" customHeight="1" x14ac:dyDescent="0.3">
      <c r="B14" s="3" t="s">
        <v>37</v>
      </c>
      <c r="C14" s="7">
        <v>990</v>
      </c>
      <c r="D14" s="7">
        <v>2210</v>
      </c>
      <c r="E14" s="7">
        <f>MainData[[#This Row],[Non-Sauids]]+MainData[[#This Row],[Saudis]]</f>
        <v>3200</v>
      </c>
      <c r="F14" s="8">
        <f>MainData[[#This Row],[Saudis]]/MainData[[#This Row],['# Headcount]]</f>
        <v>0.30937500000000001</v>
      </c>
      <c r="G14" s="3">
        <v>14</v>
      </c>
      <c r="H14" s="3">
        <v>87</v>
      </c>
      <c r="I14" s="3">
        <v>79</v>
      </c>
      <c r="J14" s="12">
        <v>888950</v>
      </c>
      <c r="K14" s="12">
        <v>253079</v>
      </c>
      <c r="L14" s="12">
        <v>14824780</v>
      </c>
      <c r="M14" s="3">
        <v>230</v>
      </c>
      <c r="N14" s="3">
        <v>266</v>
      </c>
      <c r="O14" s="3">
        <v>260</v>
      </c>
      <c r="P14" s="3">
        <v>72</v>
      </c>
      <c r="Q14" s="3">
        <v>73</v>
      </c>
      <c r="R14" s="3">
        <v>283</v>
      </c>
      <c r="S14" s="3">
        <v>217</v>
      </c>
      <c r="T14" s="3">
        <v>15</v>
      </c>
      <c r="U14" s="3">
        <v>102</v>
      </c>
      <c r="V14" s="3">
        <v>100</v>
      </c>
      <c r="W14" s="15">
        <v>0.16</v>
      </c>
      <c r="X14" s="3">
        <v>13</v>
      </c>
      <c r="Y14" s="3">
        <v>30</v>
      </c>
      <c r="Z14" s="8">
        <v>1</v>
      </c>
      <c r="AA14" s="3">
        <v>156</v>
      </c>
      <c r="AB14" s="3">
        <v>191</v>
      </c>
      <c r="AC14" s="3">
        <v>291</v>
      </c>
      <c r="AD14" s="8">
        <v>0.8</v>
      </c>
      <c r="AE14" s="8">
        <v>0.33</v>
      </c>
      <c r="AF14" s="8">
        <v>0.05</v>
      </c>
      <c r="AG14" s="8">
        <v>0.9</v>
      </c>
      <c r="AH14" s="8">
        <v>0.87</v>
      </c>
      <c r="AI14" s="8">
        <v>0.86</v>
      </c>
    </row>
    <row r="15" spans="2:35" ht="15.6" x14ac:dyDescent="0.3">
      <c r="B15" s="3"/>
      <c r="C15" s="7">
        <f>SUBTOTAL(101,MainData[Saudis])</f>
        <v>999.41666666666663</v>
      </c>
      <c r="D15" s="7">
        <f>SUBTOTAL(101,MainData[Non-Sauids])</f>
        <v>2627.75</v>
      </c>
      <c r="E15" s="7">
        <f>SUBTOTAL(101,MainData['# Headcount])</f>
        <v>3627.1666666666665</v>
      </c>
      <c r="F15" s="16">
        <f>SUBTOTAL(101,MainData[% Saudization])</f>
        <v>0.27611121764551444</v>
      </c>
      <c r="G15" s="3">
        <f t="shared" ref="G15:V15" si="0">SUBTOTAL(109,G3:G14)</f>
        <v>418</v>
      </c>
      <c r="H15" s="3">
        <f t="shared" si="0"/>
        <v>712</v>
      </c>
      <c r="I15" s="3">
        <f t="shared" si="0"/>
        <v>1472</v>
      </c>
      <c r="J15" s="3">
        <f t="shared" si="0"/>
        <v>6266855</v>
      </c>
      <c r="K15" s="3">
        <f t="shared" si="0"/>
        <v>5900942</v>
      </c>
      <c r="L15" s="3">
        <f t="shared" si="0"/>
        <v>154881248</v>
      </c>
      <c r="M15" s="3">
        <f t="shared" si="0"/>
        <v>1735</v>
      </c>
      <c r="N15" s="3">
        <f t="shared" si="0"/>
        <v>1302</v>
      </c>
      <c r="O15" s="3">
        <f t="shared" si="0"/>
        <v>1776</v>
      </c>
      <c r="P15" s="3">
        <f t="shared" si="0"/>
        <v>1285</v>
      </c>
      <c r="Q15" s="3">
        <f t="shared" si="0"/>
        <v>1105</v>
      </c>
      <c r="R15" s="3">
        <f t="shared" si="0"/>
        <v>2303</v>
      </c>
      <c r="S15" s="3">
        <f t="shared" si="0"/>
        <v>1751</v>
      </c>
      <c r="T15" s="3">
        <f t="shared" si="0"/>
        <v>639</v>
      </c>
      <c r="U15" s="3">
        <f t="shared" si="0"/>
        <v>1486</v>
      </c>
      <c r="V15" s="3">
        <f t="shared" si="0"/>
        <v>1212</v>
      </c>
      <c r="W15" s="3">
        <f t="shared" ref="W15:AI15" si="1">SUBTOTAL(109,W3:W14)</f>
        <v>1.7229999999999996</v>
      </c>
      <c r="X15" s="3">
        <f t="shared" si="1"/>
        <v>129</v>
      </c>
      <c r="Y15" s="3">
        <f t="shared" si="1"/>
        <v>406</v>
      </c>
      <c r="Z15" s="3">
        <f t="shared" si="1"/>
        <v>8.4500000000000011</v>
      </c>
      <c r="AA15" s="3">
        <f t="shared" si="1"/>
        <v>1295</v>
      </c>
      <c r="AB15" s="3">
        <f>SUBTOTAL(109,AB3:AB14)</f>
        <v>945</v>
      </c>
      <c r="AC15" s="3">
        <f t="shared" si="1"/>
        <v>3709</v>
      </c>
      <c r="AD15" s="16">
        <f>SUBTOTAL(101,MainData[% Automated Processes])</f>
        <v>0.60499999999999998</v>
      </c>
      <c r="AE15" s="16">
        <f>SUBTOTAL(101,MainData[% High Performers])</f>
        <v>0.13999999999999999</v>
      </c>
      <c r="AF15" s="16">
        <f>SUBTOTAL(101,MainData[% Low Performers])</f>
        <v>0.13083333333333333</v>
      </c>
      <c r="AG15" s="16">
        <f>SUBTOTAL(101,MainData[% Training Effectiveness Index])</f>
        <v>0.75166666666666659</v>
      </c>
      <c r="AH15" s="3">
        <f t="shared" si="1"/>
        <v>8.25</v>
      </c>
      <c r="AI15" s="3">
        <f t="shared" si="1"/>
        <v>8.7999999999999989</v>
      </c>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A18A7-0BAC-457D-AAD4-438F5F1F4303}">
  <dimension ref="A1:AF58"/>
  <sheetViews>
    <sheetView zoomScaleNormal="100" workbookViewId="0">
      <selection activeCell="U25" sqref="U25"/>
    </sheetView>
  </sheetViews>
  <sheetFormatPr defaultRowHeight="14.4" x14ac:dyDescent="0.3"/>
  <cols>
    <col min="1" max="1" width="6.33203125" style="1" customWidth="1"/>
    <col min="2" max="2" width="8.88671875" style="1"/>
    <col min="3" max="3" width="2.44140625" style="1" customWidth="1"/>
    <col min="4" max="20" width="8.88671875" style="1"/>
    <col min="21" max="21" width="37.88671875" style="1" customWidth="1"/>
    <col min="23" max="23" width="25.88671875" bestFit="1" customWidth="1"/>
  </cols>
  <sheetData>
    <row r="1" spans="1:24" ht="55.8" customHeight="1" x14ac:dyDescent="0.3">
      <c r="A1" s="5" t="s">
        <v>40</v>
      </c>
      <c r="B1" s="6" t="s">
        <v>37</v>
      </c>
      <c r="K1" s="25"/>
      <c r="L1" s="25"/>
    </row>
    <row r="2" spans="1:24" x14ac:dyDescent="0.3">
      <c r="D2" s="4"/>
      <c r="E2" s="4"/>
      <c r="F2" s="4"/>
      <c r="G2" s="4"/>
      <c r="H2" s="4"/>
      <c r="I2" s="4"/>
      <c r="J2" s="4"/>
      <c r="K2" s="4"/>
      <c r="L2" s="4"/>
      <c r="M2" s="4"/>
      <c r="N2" s="4"/>
      <c r="O2" s="4"/>
      <c r="P2" s="4"/>
      <c r="Q2" s="4"/>
      <c r="W2" t="s">
        <v>38</v>
      </c>
      <c r="X2" t="s">
        <v>46</v>
      </c>
    </row>
    <row r="3" spans="1:24" x14ac:dyDescent="0.3">
      <c r="D3" s="4"/>
      <c r="E3" s="4"/>
      <c r="F3" s="4"/>
      <c r="G3" s="4"/>
      <c r="H3" s="4"/>
      <c r="I3" s="4"/>
      <c r="J3" s="4"/>
      <c r="K3" s="4"/>
      <c r="L3" s="4"/>
      <c r="M3" s="4"/>
      <c r="N3" s="4"/>
      <c r="O3" s="4"/>
      <c r="P3" s="4"/>
      <c r="Q3" s="4"/>
      <c r="V3" t="str">
        <f>B1</f>
        <v>Dec</v>
      </c>
      <c r="W3">
        <f>VLOOKUP(V3,MainData[],2,0)</f>
        <v>990</v>
      </c>
      <c r="X3">
        <f>VLOOKUP(V3,MainData[],3,0)</f>
        <v>2210</v>
      </c>
    </row>
    <row r="4" spans="1:24" x14ac:dyDescent="0.3">
      <c r="D4" s="4"/>
      <c r="E4" s="4"/>
      <c r="F4" s="4"/>
      <c r="G4" s="4"/>
      <c r="H4" s="4"/>
      <c r="I4" s="4"/>
      <c r="J4" s="4"/>
      <c r="K4" s="4"/>
      <c r="L4" s="4"/>
      <c r="M4" s="4"/>
      <c r="N4" s="4"/>
      <c r="O4" s="4"/>
      <c r="P4" s="4"/>
      <c r="Q4" s="4"/>
    </row>
    <row r="5" spans="1:24" x14ac:dyDescent="0.3">
      <c r="D5" s="4"/>
      <c r="E5" s="4"/>
      <c r="F5" s="4"/>
      <c r="G5" s="4"/>
      <c r="H5" s="4"/>
      <c r="I5" s="4"/>
      <c r="J5" s="4"/>
      <c r="K5" s="4"/>
      <c r="L5" s="4"/>
      <c r="M5" s="4"/>
      <c r="N5" s="4"/>
      <c r="O5" s="4"/>
      <c r="P5" s="4"/>
      <c r="Q5" s="4"/>
    </row>
    <row r="6" spans="1:24" x14ac:dyDescent="0.3">
      <c r="D6" s="4"/>
      <c r="E6" s="4"/>
      <c r="F6" s="4"/>
      <c r="G6" s="4"/>
      <c r="H6" s="4"/>
      <c r="I6" s="4"/>
      <c r="J6" s="4"/>
      <c r="K6" s="4"/>
      <c r="L6" s="4"/>
      <c r="M6" s="4"/>
      <c r="N6" s="4"/>
      <c r="O6" s="4"/>
      <c r="P6" s="4"/>
      <c r="Q6" s="4"/>
      <c r="W6" t="s">
        <v>5</v>
      </c>
    </row>
    <row r="7" spans="1:24" x14ac:dyDescent="0.3">
      <c r="D7" s="4"/>
      <c r="E7" s="4"/>
      <c r="F7" s="4"/>
      <c r="G7" s="4"/>
      <c r="H7" s="4"/>
      <c r="I7" s="4"/>
      <c r="J7" s="4"/>
      <c r="K7" s="4"/>
      <c r="L7" s="4"/>
      <c r="M7" s="4"/>
      <c r="N7" s="4"/>
      <c r="O7" s="4"/>
      <c r="P7" s="4"/>
      <c r="Q7" s="4"/>
      <c r="V7" t="str">
        <f>V3</f>
        <v>Dec</v>
      </c>
      <c r="W7" s="11">
        <f>VLOOKUP(V3,MainData[],4,0)</f>
        <v>3200</v>
      </c>
    </row>
    <row r="8" spans="1:24" x14ac:dyDescent="0.3">
      <c r="D8" s="4"/>
      <c r="E8" s="4"/>
      <c r="F8" s="4"/>
      <c r="G8" s="4"/>
      <c r="H8" s="4"/>
      <c r="I8" s="4"/>
      <c r="J8" s="4"/>
      <c r="K8" s="4"/>
      <c r="L8" s="4"/>
      <c r="M8" s="4"/>
      <c r="N8" s="4"/>
      <c r="O8" s="4"/>
      <c r="P8" s="4"/>
      <c r="Q8" s="4"/>
    </row>
    <row r="9" spans="1:24" x14ac:dyDescent="0.3">
      <c r="D9" s="4"/>
      <c r="E9" s="4"/>
      <c r="F9" s="4"/>
      <c r="G9" s="4"/>
      <c r="H9" s="4"/>
      <c r="I9" s="4"/>
      <c r="J9" s="4"/>
      <c r="K9" s="4"/>
      <c r="L9" s="4"/>
      <c r="M9" s="4"/>
      <c r="N9" s="4"/>
      <c r="O9" s="4"/>
      <c r="P9" s="4"/>
      <c r="Q9" s="4"/>
      <c r="W9" t="s">
        <v>10</v>
      </c>
    </row>
    <row r="10" spans="1:24" x14ac:dyDescent="0.3">
      <c r="D10" s="4"/>
      <c r="E10" s="4"/>
      <c r="F10" s="4"/>
      <c r="G10" s="4"/>
      <c r="H10" s="4"/>
      <c r="I10" s="4"/>
      <c r="J10" s="4"/>
      <c r="K10" s="4"/>
      <c r="L10" s="4"/>
      <c r="M10" s="4"/>
      <c r="N10" s="4"/>
      <c r="O10" s="4"/>
      <c r="P10" s="4"/>
      <c r="Q10" s="4"/>
      <c r="V10" t="str">
        <f>V7</f>
        <v>Dec</v>
      </c>
      <c r="W10" s="10">
        <f>VLOOKUP(V3,MainData[],5,0)</f>
        <v>0.30937500000000001</v>
      </c>
    </row>
    <row r="11" spans="1:24" x14ac:dyDescent="0.3">
      <c r="D11" s="4"/>
      <c r="E11" s="4"/>
      <c r="F11" s="4"/>
      <c r="G11" s="4"/>
      <c r="H11" s="4"/>
      <c r="I11" s="4"/>
      <c r="J11" s="4"/>
      <c r="K11" s="4"/>
      <c r="L11" s="4"/>
      <c r="M11" s="4"/>
      <c r="N11" s="4"/>
      <c r="O11" s="4"/>
      <c r="P11" s="4"/>
      <c r="Q11" s="4"/>
    </row>
    <row r="12" spans="1:24" x14ac:dyDescent="0.3">
      <c r="D12" s="4"/>
      <c r="E12" s="4"/>
      <c r="F12" s="4"/>
      <c r="G12" s="4"/>
      <c r="H12" s="4"/>
      <c r="I12" s="4"/>
      <c r="J12" s="4"/>
      <c r="K12" s="4"/>
      <c r="L12" s="4"/>
      <c r="M12" s="4"/>
      <c r="N12" s="4"/>
      <c r="O12" s="4"/>
      <c r="P12" s="4"/>
      <c r="Q12" s="4"/>
      <c r="W12" t="s">
        <v>0</v>
      </c>
    </row>
    <row r="13" spans="1:24" x14ac:dyDescent="0.3">
      <c r="D13" s="4"/>
      <c r="E13" s="4"/>
      <c r="F13" s="4"/>
      <c r="G13" s="4"/>
      <c r="H13" s="4"/>
      <c r="I13" s="4"/>
      <c r="J13" s="4"/>
      <c r="K13" s="4"/>
      <c r="L13" s="4"/>
      <c r="M13" s="4"/>
      <c r="N13" s="4"/>
      <c r="O13" s="4"/>
      <c r="P13" s="4"/>
      <c r="Q13" s="4"/>
      <c r="V13" t="str">
        <f>V10</f>
        <v>Dec</v>
      </c>
      <c r="W13">
        <f>VLOOKUP(V3,MainData[],6,0)</f>
        <v>14</v>
      </c>
    </row>
    <row r="14" spans="1:24" x14ac:dyDescent="0.3">
      <c r="D14" s="4"/>
      <c r="E14" s="4"/>
      <c r="F14" s="4"/>
      <c r="G14" s="4"/>
      <c r="H14" s="4"/>
      <c r="I14" s="4"/>
      <c r="J14" s="4"/>
      <c r="K14" s="4"/>
      <c r="L14" s="4"/>
      <c r="M14" s="4"/>
      <c r="N14" s="4"/>
      <c r="O14" s="4"/>
      <c r="P14" s="4"/>
      <c r="Q14" s="4"/>
    </row>
    <row r="15" spans="1:24" x14ac:dyDescent="0.3">
      <c r="D15" s="4"/>
      <c r="E15" s="4"/>
      <c r="F15" s="4"/>
      <c r="G15" s="4"/>
      <c r="H15" s="4"/>
      <c r="I15" s="4"/>
      <c r="J15" s="4"/>
      <c r="K15" s="4"/>
      <c r="L15" s="4"/>
      <c r="M15" s="4"/>
      <c r="N15" s="4"/>
      <c r="O15" s="4"/>
      <c r="P15" s="4"/>
      <c r="Q15" s="4"/>
      <c r="W15" t="s">
        <v>1</v>
      </c>
    </row>
    <row r="16" spans="1:24" x14ac:dyDescent="0.3">
      <c r="D16" s="4"/>
      <c r="E16" s="4"/>
      <c r="F16" s="4"/>
      <c r="G16" s="4"/>
      <c r="H16" s="4"/>
      <c r="I16" s="4"/>
      <c r="J16" s="4"/>
      <c r="K16" s="4"/>
      <c r="L16" s="4"/>
      <c r="M16" s="4"/>
      <c r="N16" s="4"/>
      <c r="O16" s="4"/>
      <c r="P16" s="4"/>
      <c r="Q16" s="4"/>
      <c r="V16" t="str">
        <f>V13</f>
        <v>Dec</v>
      </c>
      <c r="W16">
        <f>VLOOKUP(V3,MainData[],7,0)</f>
        <v>87</v>
      </c>
    </row>
    <row r="17" spans="4:32" x14ac:dyDescent="0.3">
      <c r="D17" s="4"/>
      <c r="E17" s="4"/>
      <c r="F17" s="4"/>
      <c r="G17" s="4"/>
      <c r="H17" s="4"/>
      <c r="I17" s="4"/>
      <c r="J17" s="4"/>
      <c r="K17" s="4"/>
      <c r="L17" s="4"/>
      <c r="M17" s="4"/>
      <c r="N17" s="4"/>
      <c r="O17" s="4"/>
      <c r="P17" s="4"/>
      <c r="Q17" s="4"/>
    </row>
    <row r="18" spans="4:32" x14ac:dyDescent="0.3">
      <c r="D18" s="4"/>
      <c r="E18" s="4"/>
      <c r="F18" s="4"/>
      <c r="G18" s="4"/>
      <c r="H18" s="4"/>
      <c r="I18" s="4"/>
      <c r="J18" s="4"/>
      <c r="K18" s="4"/>
      <c r="L18" s="4"/>
      <c r="M18" s="4"/>
      <c r="N18" s="4"/>
      <c r="O18" s="4"/>
      <c r="P18" s="4"/>
      <c r="Q18" s="4"/>
      <c r="W18" t="s">
        <v>2</v>
      </c>
      <c r="X18" t="s">
        <v>8</v>
      </c>
      <c r="Y18" s="1" t="s">
        <v>9</v>
      </c>
      <c r="Z18" t="s">
        <v>50</v>
      </c>
    </row>
    <row r="19" spans="4:32" x14ac:dyDescent="0.3">
      <c r="D19" s="4"/>
      <c r="E19" s="4"/>
      <c r="F19" s="4"/>
      <c r="G19" s="4"/>
      <c r="H19" s="4"/>
      <c r="I19" s="4"/>
      <c r="J19" s="4"/>
      <c r="K19" s="4"/>
      <c r="L19" s="4"/>
      <c r="M19" s="4"/>
      <c r="N19" s="4"/>
      <c r="O19" s="4"/>
      <c r="P19" s="4"/>
      <c r="Q19" s="4"/>
      <c r="V19" t="str">
        <f>V16</f>
        <v>Dec</v>
      </c>
      <c r="W19">
        <f>VLOOKUP(V3,MainData[],8,0)</f>
        <v>79</v>
      </c>
      <c r="X19">
        <f>VLOOKUP(V3,MainData[],16,0)</f>
        <v>73</v>
      </c>
      <c r="Y19">
        <f>VLOOKUP(V3,MainData[],17,0)</f>
        <v>283</v>
      </c>
      <c r="Z19" s="14">
        <f>W7-Y19</f>
        <v>2917</v>
      </c>
    </row>
    <row r="20" spans="4:32" x14ac:dyDescent="0.3">
      <c r="D20" s="4"/>
      <c r="E20" s="4"/>
      <c r="F20" s="4"/>
      <c r="G20" s="4"/>
      <c r="H20" s="4"/>
      <c r="I20" s="4"/>
      <c r="J20" s="4"/>
      <c r="K20" s="4"/>
      <c r="L20" s="4"/>
      <c r="M20" s="4"/>
      <c r="N20" s="4"/>
      <c r="O20" s="4"/>
      <c r="P20" s="4"/>
      <c r="Q20" s="4"/>
    </row>
    <row r="21" spans="4:32" x14ac:dyDescent="0.3">
      <c r="D21" s="4"/>
      <c r="E21" s="4"/>
      <c r="F21" s="4"/>
      <c r="G21" s="4"/>
      <c r="H21" s="4"/>
      <c r="I21" s="4"/>
      <c r="J21" s="4"/>
      <c r="K21" s="4"/>
      <c r="L21" s="4"/>
      <c r="M21" s="4"/>
      <c r="N21" s="4"/>
      <c r="O21" s="4"/>
      <c r="P21" s="4"/>
      <c r="Q21" s="4"/>
    </row>
    <row r="22" spans="4:32" x14ac:dyDescent="0.3">
      <c r="D22" s="4"/>
      <c r="E22" s="4"/>
      <c r="F22" s="4"/>
      <c r="G22" s="4"/>
      <c r="H22" s="4"/>
      <c r="I22" s="4"/>
      <c r="J22" s="4"/>
      <c r="K22" s="4"/>
      <c r="L22" s="4"/>
      <c r="M22" s="4"/>
      <c r="N22" s="4"/>
      <c r="O22" s="4"/>
      <c r="P22" s="4"/>
      <c r="Q22" s="4"/>
      <c r="W22" t="s">
        <v>3</v>
      </c>
      <c r="X22" s="1" t="s">
        <v>43</v>
      </c>
      <c r="Y22" s="1" t="s">
        <v>17</v>
      </c>
      <c r="Z22" s="1" t="s">
        <v>14</v>
      </c>
      <c r="AA22" s="1" t="s">
        <v>16</v>
      </c>
    </row>
    <row r="23" spans="4:32" x14ac:dyDescent="0.3">
      <c r="D23" s="4"/>
      <c r="E23" s="4"/>
      <c r="F23" s="4"/>
      <c r="G23" s="4"/>
      <c r="H23" s="4"/>
      <c r="I23" s="4"/>
      <c r="J23" s="4"/>
      <c r="K23" s="4"/>
      <c r="L23" s="4"/>
      <c r="M23" s="4"/>
      <c r="N23" s="4"/>
      <c r="O23" s="4"/>
      <c r="P23" s="4"/>
      <c r="Q23" s="4"/>
      <c r="V23" t="str">
        <f>V19</f>
        <v>Dec</v>
      </c>
      <c r="W23" s="13">
        <f>VLOOKUP(V3,MainData[],9,0)</f>
        <v>888950</v>
      </c>
      <c r="X23">
        <f>VLOOKUP(V3,MainData[],18,0)</f>
        <v>217</v>
      </c>
      <c r="Y23">
        <f>VLOOKUP(V3,MainData[],24,0)</f>
        <v>30</v>
      </c>
      <c r="Z23">
        <f>VLOOKUP(V3,MainData[],21,0)</f>
        <v>100</v>
      </c>
      <c r="AA23">
        <f>VLOOKUP(V3,MainData[],24,0)</f>
        <v>30</v>
      </c>
    </row>
    <row r="24" spans="4:32" x14ac:dyDescent="0.3">
      <c r="D24" s="4"/>
      <c r="E24" s="4"/>
      <c r="F24" s="4"/>
      <c r="G24" s="4"/>
      <c r="H24" s="4"/>
      <c r="I24" s="4"/>
      <c r="J24" s="4"/>
      <c r="K24" s="4"/>
      <c r="L24" s="4"/>
      <c r="M24" s="4"/>
      <c r="N24" s="4"/>
      <c r="O24" s="4"/>
      <c r="P24" s="4"/>
      <c r="Q24" s="4"/>
      <c r="AE24">
        <v>18</v>
      </c>
    </row>
    <row r="25" spans="4:32" x14ac:dyDescent="0.3">
      <c r="D25" s="4"/>
      <c r="E25" s="4"/>
      <c r="F25" s="4"/>
      <c r="G25" s="4"/>
      <c r="H25" s="4"/>
      <c r="I25" s="4"/>
      <c r="J25" s="4"/>
      <c r="K25" s="4"/>
      <c r="L25" s="4"/>
      <c r="M25" s="4"/>
      <c r="N25" s="4"/>
      <c r="O25" s="4"/>
      <c r="P25" s="4"/>
      <c r="Q25" s="4"/>
      <c r="AE25">
        <f>AF26-AE24</f>
        <v>12</v>
      </c>
    </row>
    <row r="26" spans="4:32" x14ac:dyDescent="0.3">
      <c r="D26" s="4"/>
      <c r="E26" s="4"/>
      <c r="F26" s="4"/>
      <c r="G26" s="4"/>
      <c r="H26" s="4"/>
      <c r="I26" s="4"/>
      <c r="J26" s="4"/>
      <c r="K26" s="4"/>
      <c r="L26" s="4"/>
      <c r="M26" s="4"/>
      <c r="N26" s="4"/>
      <c r="O26" s="4"/>
      <c r="P26" s="4"/>
      <c r="Q26" s="4"/>
      <c r="W26" t="s">
        <v>4</v>
      </c>
      <c r="X26" s="1" t="s">
        <v>13</v>
      </c>
      <c r="Y26" s="1" t="s">
        <v>18</v>
      </c>
      <c r="AA26" s="1" t="s">
        <v>44</v>
      </c>
      <c r="AE26">
        <v>5</v>
      </c>
      <c r="AF26">
        <f>Y23</f>
        <v>30</v>
      </c>
    </row>
    <row r="27" spans="4:32" x14ac:dyDescent="0.3">
      <c r="D27" s="4"/>
      <c r="E27" s="4"/>
      <c r="F27" s="4"/>
      <c r="G27" s="4"/>
      <c r="H27" s="4"/>
      <c r="I27" s="4"/>
      <c r="J27" s="4"/>
      <c r="K27" s="4"/>
      <c r="L27" s="4"/>
      <c r="M27" s="4"/>
      <c r="N27" s="4"/>
      <c r="O27" s="4"/>
      <c r="P27" s="4"/>
      <c r="Q27" s="4"/>
      <c r="V27" t="str">
        <f>V23</f>
        <v>Dec</v>
      </c>
      <c r="W27" s="13">
        <f>VLOOKUP(V3,MainData[],10,0)</f>
        <v>253079</v>
      </c>
      <c r="X27" s="10">
        <f>VLOOKUP(V3,MainData[],22,0)</f>
        <v>0.16</v>
      </c>
      <c r="Y27" s="9">
        <f>VLOOKUP(V3,MainData[],25,0)</f>
        <v>1</v>
      </c>
      <c r="Z27" s="17">
        <f>100%-Y27</f>
        <v>0</v>
      </c>
      <c r="AA27">
        <f>VLOOKUP(V3,MainData[],28,0)</f>
        <v>291</v>
      </c>
      <c r="AB27" s="14">
        <f>W7-AA27</f>
        <v>2909</v>
      </c>
      <c r="AC27" s="10">
        <f>AA27/AB27</f>
        <v>0.10003437607425232</v>
      </c>
      <c r="AE27">
        <f>AE28-AF26</f>
        <v>30</v>
      </c>
    </row>
    <row r="28" spans="4:32" x14ac:dyDescent="0.3">
      <c r="D28" s="4"/>
      <c r="E28" s="4"/>
      <c r="F28" s="4"/>
      <c r="G28" s="4"/>
      <c r="H28" s="4"/>
      <c r="I28" s="4"/>
      <c r="J28" s="4"/>
      <c r="K28" s="4"/>
      <c r="L28" s="4"/>
      <c r="M28" s="4"/>
      <c r="N28" s="4"/>
      <c r="O28" s="4"/>
      <c r="P28" s="4"/>
      <c r="Q28" s="4"/>
      <c r="AE28">
        <f>120-60</f>
        <v>60</v>
      </c>
    </row>
    <row r="29" spans="4:32" x14ac:dyDescent="0.3">
      <c r="D29" s="4"/>
      <c r="E29" s="4"/>
      <c r="F29" s="4"/>
      <c r="G29" s="4"/>
      <c r="H29" s="4"/>
      <c r="I29" s="4"/>
      <c r="J29" s="4"/>
      <c r="K29" s="4"/>
      <c r="L29" s="4"/>
      <c r="M29" s="4"/>
      <c r="N29" s="4"/>
      <c r="O29" s="4"/>
      <c r="P29" s="4"/>
      <c r="Q29" s="4"/>
    </row>
    <row r="30" spans="4:32" x14ac:dyDescent="0.3">
      <c r="D30" s="4"/>
      <c r="E30" s="4"/>
      <c r="F30" s="4"/>
      <c r="G30" s="4"/>
      <c r="H30" s="4"/>
      <c r="I30" s="4"/>
      <c r="J30" s="4"/>
      <c r="K30" s="4"/>
      <c r="L30" s="4"/>
      <c r="M30" s="4"/>
      <c r="N30" s="4"/>
      <c r="O30" s="4"/>
      <c r="P30" s="4"/>
      <c r="Q30" s="4"/>
      <c r="W30" s="1" t="s">
        <v>47</v>
      </c>
      <c r="X30" s="1" t="s">
        <v>11</v>
      </c>
      <c r="Y30" s="1" t="s">
        <v>12</v>
      </c>
      <c r="Z30" s="1" t="s">
        <v>19</v>
      </c>
      <c r="AA30" s="1" t="s">
        <v>22</v>
      </c>
    </row>
    <row r="31" spans="4:32" x14ac:dyDescent="0.3">
      <c r="D31" s="4"/>
      <c r="E31" s="4"/>
      <c r="F31" s="4"/>
      <c r="G31" s="4"/>
      <c r="H31" s="4"/>
      <c r="I31" s="4"/>
      <c r="J31" s="4"/>
      <c r="K31" s="4"/>
      <c r="L31" s="4"/>
      <c r="M31" s="4"/>
      <c r="N31" s="4"/>
      <c r="O31" s="4"/>
      <c r="P31" s="4"/>
      <c r="Q31" s="4"/>
      <c r="V31" t="str">
        <f>V27</f>
        <v>Dec</v>
      </c>
      <c r="W31" s="13">
        <f>VLOOKUP(V3,MainData[],11,0)</f>
        <v>14824780</v>
      </c>
      <c r="X31">
        <f>VLOOKUP(V3,MainData[],19,0)</f>
        <v>15</v>
      </c>
      <c r="Y31">
        <f>VLOOKUP(V3,MainData[],20,0)</f>
        <v>102</v>
      </c>
      <c r="Z31">
        <f>VLOOKUP(V3,MainData[],27,0)</f>
        <v>191</v>
      </c>
      <c r="AA31">
        <f>VLOOKUP(V3,MainData[],28,0)</f>
        <v>291</v>
      </c>
    </row>
    <row r="32" spans="4:32" x14ac:dyDescent="0.3">
      <c r="D32" s="4"/>
      <c r="E32" s="4"/>
      <c r="F32" s="4"/>
      <c r="G32" s="4"/>
      <c r="H32" s="4"/>
      <c r="I32" s="4"/>
      <c r="J32" s="4"/>
      <c r="K32" s="4"/>
      <c r="L32" s="4"/>
      <c r="M32" s="4"/>
      <c r="N32" s="4"/>
      <c r="O32" s="4"/>
      <c r="P32" s="4"/>
      <c r="Q32" s="4"/>
    </row>
    <row r="34" spans="22:28" x14ac:dyDescent="0.3">
      <c r="W34" t="s">
        <v>6</v>
      </c>
      <c r="X34" t="s">
        <v>7</v>
      </c>
    </row>
    <row r="35" spans="22:28" x14ac:dyDescent="0.3">
      <c r="V35" t="str">
        <f>V31</f>
        <v>Dec</v>
      </c>
      <c r="W35">
        <f>VLOOKUP(V3,MainData[],12,0)</f>
        <v>230</v>
      </c>
      <c r="X35">
        <f>VLOOKUP(V3,MainData[],13,0)</f>
        <v>266</v>
      </c>
    </row>
    <row r="37" spans="22:28" x14ac:dyDescent="0.3">
      <c r="W37" s="1" t="s">
        <v>48</v>
      </c>
      <c r="X37" s="1" t="s">
        <v>49</v>
      </c>
    </row>
    <row r="38" spans="22:28" x14ac:dyDescent="0.3">
      <c r="V38" t="str">
        <f>V35</f>
        <v>Dec</v>
      </c>
      <c r="W38" s="9">
        <f>VLOOKUP(V3,MainData[],31,0)</f>
        <v>0.05</v>
      </c>
      <c r="X38" s="9">
        <f>VLOOKUP(V3,MainData[],32,0)</f>
        <v>0.9</v>
      </c>
    </row>
    <row r="39" spans="22:28" x14ac:dyDescent="0.3">
      <c r="AB39">
        <v>1</v>
      </c>
    </row>
    <row r="40" spans="22:28" x14ac:dyDescent="0.3">
      <c r="W40" t="s">
        <v>41</v>
      </c>
      <c r="X40" t="s">
        <v>42</v>
      </c>
      <c r="AB40">
        <v>1</v>
      </c>
    </row>
    <row r="41" spans="22:28" x14ac:dyDescent="0.3">
      <c r="V41" t="str">
        <f>V38</f>
        <v>Dec</v>
      </c>
      <c r="W41">
        <f>VLOOKUP(V3,MainData[],14,0)</f>
        <v>260</v>
      </c>
      <c r="X41">
        <f>VLOOKUP(V3,MainData[],15,0)</f>
        <v>72</v>
      </c>
      <c r="AB41">
        <v>1</v>
      </c>
    </row>
    <row r="42" spans="22:28" x14ac:dyDescent="0.3">
      <c r="AB42">
        <v>1</v>
      </c>
    </row>
    <row r="43" spans="22:28" x14ac:dyDescent="0.3">
      <c r="AB43">
        <v>1</v>
      </c>
    </row>
    <row r="44" spans="22:28" x14ac:dyDescent="0.3">
      <c r="W44" t="s">
        <v>45</v>
      </c>
      <c r="X44" s="9">
        <f>VLOOKUP(V3,MainData[],30,0)</f>
        <v>0.33</v>
      </c>
      <c r="Y44" s="17">
        <f>1-X44</f>
        <v>0.66999999999999993</v>
      </c>
      <c r="AB44">
        <v>1</v>
      </c>
    </row>
    <row r="45" spans="22:28" x14ac:dyDescent="0.3">
      <c r="W45" t="s">
        <v>23</v>
      </c>
      <c r="X45" s="9">
        <f>VLOOKUP(V3,MainData[],34,0)</f>
        <v>0.86</v>
      </c>
      <c r="Y45" s="17">
        <f>1-X45</f>
        <v>0.14000000000000001</v>
      </c>
      <c r="AB45">
        <v>1</v>
      </c>
    </row>
    <row r="46" spans="22:28" x14ac:dyDescent="0.3">
      <c r="W46" t="s">
        <v>24</v>
      </c>
      <c r="X46" s="9">
        <f>VLOOKUP(V3,MainData[],33,0)</f>
        <v>0.87</v>
      </c>
      <c r="Y46" s="17">
        <f>1-X46</f>
        <v>0.13</v>
      </c>
      <c r="AB46">
        <v>1</v>
      </c>
    </row>
    <row r="47" spans="22:28" x14ac:dyDescent="0.3">
      <c r="W47" t="s">
        <v>25</v>
      </c>
      <c r="X47" s="9">
        <f>VLOOKUP(V3,MainData[],34,0)</f>
        <v>0.86</v>
      </c>
      <c r="Y47" s="17">
        <f>1-X47</f>
        <v>0.14000000000000001</v>
      </c>
      <c r="AB47">
        <v>1</v>
      </c>
    </row>
    <row r="48" spans="22:28" x14ac:dyDescent="0.3">
      <c r="X48" s="9"/>
      <c r="AB48">
        <v>1</v>
      </c>
    </row>
    <row r="49" spans="24:28" x14ac:dyDescent="0.3">
      <c r="X49" s="9"/>
      <c r="AB49">
        <v>1</v>
      </c>
    </row>
    <row r="50" spans="24:28" x14ac:dyDescent="0.3">
      <c r="X50" s="9"/>
      <c r="AB50">
        <v>1</v>
      </c>
    </row>
    <row r="51" spans="24:28" x14ac:dyDescent="0.3">
      <c r="AB51">
        <v>1</v>
      </c>
    </row>
    <row r="52" spans="24:28" x14ac:dyDescent="0.3">
      <c r="AB52">
        <v>1</v>
      </c>
    </row>
    <row r="53" spans="24:28" x14ac:dyDescent="0.3">
      <c r="AB53">
        <v>1</v>
      </c>
    </row>
    <row r="54" spans="24:28" x14ac:dyDescent="0.3">
      <c r="AB54">
        <v>1</v>
      </c>
    </row>
    <row r="55" spans="24:28" x14ac:dyDescent="0.3">
      <c r="AB55">
        <v>1</v>
      </c>
    </row>
    <row r="56" spans="24:28" x14ac:dyDescent="0.3">
      <c r="AB56">
        <v>1</v>
      </c>
    </row>
    <row r="57" spans="24:28" x14ac:dyDescent="0.3">
      <c r="AB57">
        <v>1</v>
      </c>
    </row>
    <row r="58" spans="24:28" x14ac:dyDescent="0.3">
      <c r="AB58">
        <v>1</v>
      </c>
    </row>
  </sheetData>
  <printOptions horizontalCentered="1" verticalCentered="1"/>
  <pageMargins left="0.7" right="0.7" top="0.75" bottom="0.75" header="0.3" footer="0.3"/>
  <pageSetup paperSize="9"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E563657-363E-45D7-86A2-B741AEEC8180}">
          <x14:formula1>
            <xm:f>Data!$B$3:$B$14</xm:f>
          </x14:formula1>
          <xm:sqref>B1</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Pivot 1</vt:lpstr>
      <vt:lpstr>Pivot 2</vt:lpstr>
      <vt:lpstr>Pivot 3</vt:lpstr>
      <vt:lpstr>Pivot 4</vt:lpstr>
      <vt:lpstr>Dashboard 2</vt:lpstr>
      <vt:lpstr>Data</vt:lpstr>
      <vt:lpstr>Dashboard 1</vt:lpstr>
      <vt:lpstr>'Dashboard 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Asala Khater</cp:lastModifiedBy>
  <cp:lastPrinted>2020-03-26T18:37:08Z</cp:lastPrinted>
  <dcterms:created xsi:type="dcterms:W3CDTF">2020-03-26T11:40:04Z</dcterms:created>
  <dcterms:modified xsi:type="dcterms:W3CDTF">2024-10-12T22:29:29Z</dcterms:modified>
</cp:coreProperties>
</file>