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andurakovic/PhD work/EMPIRE-Hydrogen/Data handler/full_model/"/>
    </mc:Choice>
  </mc:AlternateContent>
  <xr:revisionPtr revIDLastSave="0" documentId="13_ncr:1_{D815F2EB-C545-B347-AD29-8680F419C221}" xr6:coauthVersionLast="47" xr6:coauthVersionMax="47" xr10:uidLastSave="{00000000-0000-0000-0000-000000000000}"/>
  <bookViews>
    <workbookView xWindow="0" yWindow="500" windowWidth="33600" windowHeight="19400" firstSheet="4" activeTab="12" xr2:uid="{EB483986-C6DA-2C47-865E-3FE264BC1975}"/>
  </bookViews>
  <sheets>
    <sheet name="Generators" sheetId="28" r:id="rId1"/>
    <sheet name="ProductionNodes" sheetId="5" r:id="rId2"/>
    <sheet name="ReformerLocations" sheetId="24" r:id="rId3"/>
    <sheet name="ReformerPlants" sheetId="23" r:id="rId4"/>
    <sheet name="ReformerCapitalCost" sheetId="18" r:id="rId5"/>
    <sheet name="ReformerFixedOMCost" sheetId="19" r:id="rId6"/>
    <sheet name="ReformerVariableOMCost" sheetId="26" r:id="rId7"/>
    <sheet name="ReformerEfficiency" sheetId="20" r:id="rId8"/>
    <sheet name="ReformerElectricityUse" sheetId="27" r:id="rId9"/>
    <sheet name="ReformerLifetime" sheetId="21" r:id="rId10"/>
    <sheet name="ReformerEmissionFactor" sheetId="22" r:id="rId11"/>
    <sheet name="ReformerCO2CaptureFactor" sheetId="29" r:id="rId12"/>
    <sheet name="ElectrolyzerPlantCapitalCost" sheetId="1" r:id="rId13"/>
    <sheet name="ElectrolyzerFixedOMCost" sheetId="14" r:id="rId14"/>
    <sheet name="ElectrolyzerStackCapitalCost" sheetId="2" r:id="rId15"/>
    <sheet name="ElectrolyzerLifetime" sheetId="3" r:id="rId16"/>
    <sheet name="ElectrolyzerPowerUse" sheetId="12" r:id="rId17"/>
    <sheet name="PipelineCapitalCost" sheetId="8" r:id="rId18"/>
    <sheet name="PipelineOMCostPerKM" sheetId="10" r:id="rId19"/>
    <sheet name="PipelineCompressorPowerUsage" sheetId="13" r:id="rId20"/>
    <sheet name="StorageCapitalCost" sheetId="16" r:id="rId21"/>
    <sheet name="StorageFixedOMCost" sheetId="17" r:id="rId22"/>
    <sheet name="StorageMaxCapacity" sheetId="15" r:id="rId23"/>
    <sheet name="Calculations" sheetId="11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2" l="1"/>
  <c r="B6" i="12"/>
  <c r="B7" i="12"/>
  <c r="B8" i="12"/>
  <c r="B9" i="12"/>
  <c r="B10" i="12"/>
  <c r="B11" i="12"/>
  <c r="B4" i="12"/>
  <c r="B5" i="14" l="1"/>
  <c r="B6" i="14"/>
  <c r="B7" i="14"/>
  <c r="B8" i="14"/>
  <c r="B9" i="14"/>
  <c r="B10" i="14"/>
  <c r="B11" i="14"/>
  <c r="B4" i="14"/>
  <c r="B5" i="1"/>
  <c r="B6" i="1"/>
  <c r="B7" i="1"/>
  <c r="B8" i="1"/>
  <c r="B9" i="1"/>
  <c r="B10" i="1"/>
  <c r="B11" i="1"/>
  <c r="B4" i="1"/>
  <c r="B5" i="15" l="1"/>
  <c r="B6" i="15"/>
  <c r="B7" i="15"/>
  <c r="B8" i="15"/>
  <c r="B9" i="15"/>
  <c r="B10" i="15"/>
  <c r="B11" i="15"/>
  <c r="B12" i="15"/>
  <c r="B4" i="15"/>
  <c r="B5" i="16"/>
  <c r="B6" i="16"/>
  <c r="B7" i="16"/>
  <c r="B8" i="16"/>
  <c r="B9" i="16"/>
  <c r="B10" i="16"/>
  <c r="B11" i="16"/>
  <c r="B4" i="16"/>
  <c r="A4" i="13"/>
  <c r="G10" i="11"/>
  <c r="G11" i="11"/>
  <c r="G9" i="11"/>
  <c r="B4" i="8"/>
  <c r="H3" i="11"/>
  <c r="H4" i="11"/>
  <c r="H2" i="11"/>
  <c r="D9" i="12"/>
  <c r="D10" i="12" s="1"/>
  <c r="D11" i="12" s="1"/>
  <c r="D8" i="12"/>
  <c r="D7" i="12"/>
  <c r="D6" i="12"/>
  <c r="D5" i="12"/>
  <c r="D4" i="12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4" i="19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4" i="18"/>
  <c r="O2" i="29"/>
  <c r="G5" i="29"/>
  <c r="H5" i="26" l="1"/>
  <c r="C5" i="26" s="1"/>
  <c r="H6" i="26"/>
  <c r="C6" i="26" s="1"/>
  <c r="H7" i="26"/>
  <c r="C7" i="26" s="1"/>
  <c r="H8" i="26"/>
  <c r="C8" i="26" s="1"/>
  <c r="H9" i="26"/>
  <c r="C9" i="26" s="1"/>
  <c r="H10" i="26"/>
  <c r="C10" i="26" s="1"/>
  <c r="H11" i="26"/>
  <c r="C11" i="26" s="1"/>
  <c r="H12" i="26"/>
  <c r="C12" i="26" s="1"/>
  <c r="H13" i="26"/>
  <c r="C13" i="26" s="1"/>
  <c r="H14" i="26"/>
  <c r="C14" i="26" s="1"/>
  <c r="H15" i="26"/>
  <c r="C15" i="26" s="1"/>
  <c r="H16" i="26"/>
  <c r="C16" i="26" s="1"/>
  <c r="H17" i="26"/>
  <c r="C17" i="26" s="1"/>
  <c r="H18" i="26"/>
  <c r="C18" i="26" s="1"/>
  <c r="H19" i="26"/>
  <c r="C19" i="26" s="1"/>
  <c r="H20" i="26"/>
  <c r="C20" i="26" s="1"/>
  <c r="H21" i="26"/>
  <c r="C21" i="26" s="1"/>
  <c r="H22" i="26"/>
  <c r="C22" i="26" s="1"/>
  <c r="H23" i="26"/>
  <c r="C23" i="26" s="1"/>
  <c r="H24" i="26"/>
  <c r="C24" i="26" s="1"/>
  <c r="H25" i="26"/>
  <c r="C25" i="26" s="1"/>
  <c r="H26" i="26"/>
  <c r="C26" i="26" s="1"/>
  <c r="H27" i="26"/>
  <c r="C27" i="26" s="1"/>
  <c r="H4" i="26"/>
  <c r="C4" i="26" s="1"/>
  <c r="H9" i="27"/>
  <c r="C9" i="27" s="1"/>
  <c r="H10" i="27"/>
  <c r="C10" i="27" s="1"/>
  <c r="H17" i="27"/>
  <c r="C17" i="27" s="1"/>
  <c r="H18" i="27"/>
  <c r="C18" i="27" s="1"/>
  <c r="H25" i="27"/>
  <c r="C25" i="27" s="1"/>
  <c r="H26" i="27"/>
  <c r="C26" i="27" s="1"/>
  <c r="M1" i="27"/>
  <c r="K1" i="27"/>
  <c r="G5" i="27"/>
  <c r="H5" i="27" s="1"/>
  <c r="C5" i="27" s="1"/>
  <c r="G6" i="27"/>
  <c r="H6" i="27" s="1"/>
  <c r="C6" i="27" s="1"/>
  <c r="G7" i="27"/>
  <c r="H7" i="27" s="1"/>
  <c r="C7" i="27" s="1"/>
  <c r="G8" i="27"/>
  <c r="H8" i="27" s="1"/>
  <c r="C8" i="27" s="1"/>
  <c r="G9" i="27"/>
  <c r="G10" i="27"/>
  <c r="G11" i="27"/>
  <c r="H11" i="27" s="1"/>
  <c r="C11" i="27" s="1"/>
  <c r="G12" i="27"/>
  <c r="H12" i="27" s="1"/>
  <c r="C12" i="27" s="1"/>
  <c r="G13" i="27"/>
  <c r="H13" i="27" s="1"/>
  <c r="C13" i="27" s="1"/>
  <c r="G14" i="27"/>
  <c r="H14" i="27" s="1"/>
  <c r="C14" i="27" s="1"/>
  <c r="G15" i="27"/>
  <c r="H15" i="27" s="1"/>
  <c r="C15" i="27" s="1"/>
  <c r="G16" i="27"/>
  <c r="H16" i="27" s="1"/>
  <c r="C16" i="27" s="1"/>
  <c r="G17" i="27"/>
  <c r="G18" i="27"/>
  <c r="G19" i="27"/>
  <c r="H19" i="27" s="1"/>
  <c r="C19" i="27" s="1"/>
  <c r="G20" i="27"/>
  <c r="H20" i="27" s="1"/>
  <c r="C20" i="27" s="1"/>
  <c r="G21" i="27"/>
  <c r="H21" i="27" s="1"/>
  <c r="C21" i="27" s="1"/>
  <c r="G22" i="27"/>
  <c r="H22" i="27" s="1"/>
  <c r="C22" i="27" s="1"/>
  <c r="G23" i="27"/>
  <c r="H23" i="27" s="1"/>
  <c r="C23" i="27" s="1"/>
  <c r="G24" i="27"/>
  <c r="H24" i="27" s="1"/>
  <c r="C24" i="27" s="1"/>
  <c r="G25" i="27"/>
  <c r="G26" i="27"/>
  <c r="G27" i="27"/>
  <c r="H27" i="27" s="1"/>
  <c r="C27" i="27" s="1"/>
  <c r="G4" i="27"/>
  <c r="H4" i="27" s="1"/>
  <c r="C4" i="27" s="1"/>
  <c r="G5" i="22"/>
  <c r="C22" i="22" s="1"/>
  <c r="C23" i="20"/>
  <c r="C23" i="29" s="1"/>
  <c r="C24" i="20"/>
  <c r="C24" i="29" s="1"/>
  <c r="C25" i="20"/>
  <c r="C25" i="29" s="1"/>
  <c r="C26" i="20"/>
  <c r="C26" i="29" s="1"/>
  <c r="C27" i="20"/>
  <c r="C27" i="29" s="1"/>
  <c r="C22" i="20"/>
  <c r="C22" i="29" s="1"/>
  <c r="C21" i="20"/>
  <c r="C21" i="29" s="1"/>
  <c r="C20" i="20"/>
  <c r="C20" i="29" s="1"/>
  <c r="C13" i="20"/>
  <c r="C13" i="29" s="1"/>
  <c r="C14" i="20"/>
  <c r="C14" i="29" s="1"/>
  <c r="C15" i="20"/>
  <c r="C15" i="29" s="1"/>
  <c r="C16" i="20"/>
  <c r="C16" i="29" s="1"/>
  <c r="C17" i="20"/>
  <c r="C17" i="29" s="1"/>
  <c r="C18" i="20"/>
  <c r="C18" i="29" s="1"/>
  <c r="C19" i="20"/>
  <c r="C19" i="29" s="1"/>
  <c r="C12" i="20"/>
  <c r="C12" i="29" s="1"/>
  <c r="C5" i="20"/>
  <c r="C5" i="22" s="1"/>
  <c r="C6" i="20"/>
  <c r="C6" i="22" s="1"/>
  <c r="C7" i="20"/>
  <c r="C8" i="20"/>
  <c r="C9" i="20"/>
  <c r="C10" i="20"/>
  <c r="C11" i="20"/>
  <c r="C4" i="20"/>
  <c r="C11" i="22" l="1"/>
  <c r="C4" i="22"/>
  <c r="C10" i="22"/>
  <c r="C12" i="22"/>
  <c r="C9" i="22"/>
  <c r="C14" i="22"/>
  <c r="C8" i="22"/>
  <c r="C24" i="22"/>
  <c r="C7" i="22"/>
  <c r="C18" i="22"/>
  <c r="C20" i="22"/>
  <c r="C17" i="22"/>
  <c r="C27" i="22"/>
  <c r="C16" i="22"/>
  <c r="C26" i="22"/>
  <c r="C15" i="22"/>
  <c r="C25" i="22"/>
  <c r="C13" i="22"/>
  <c r="C23" i="22"/>
  <c r="C19" i="22"/>
  <c r="C21" i="22"/>
  <c r="B6" i="8"/>
  <c r="B5" i="17"/>
  <c r="B6" i="17"/>
  <c r="B7" i="17"/>
  <c r="B8" i="17"/>
  <c r="B9" i="17"/>
  <c r="B10" i="17"/>
  <c r="B11" i="17"/>
  <c r="B5" i="8" l="1"/>
  <c r="B11" i="8"/>
  <c r="B10" i="8"/>
  <c r="B9" i="8"/>
  <c r="B8" i="8"/>
  <c r="B7" i="8"/>
  <c r="B4" i="17"/>
  <c r="K4" i="15"/>
  <c r="F9" i="11"/>
  <c r="F10" i="11"/>
  <c r="F11" i="11"/>
  <c r="E11" i="11"/>
  <c r="E10" i="11"/>
  <c r="E9" i="11"/>
  <c r="G3" i="11" l="1"/>
  <c r="G4" i="11"/>
  <c r="G2" i="11"/>
  <c r="B7" i="10" l="1"/>
  <c r="B9" i="10"/>
  <c r="B8" i="10"/>
  <c r="B10" i="10"/>
  <c r="B11" i="10"/>
  <c r="B6" i="10"/>
  <c r="B5" i="10"/>
  <c r="B4" i="10"/>
</calcChain>
</file>

<file path=xl/sharedStrings.xml><?xml version="1.0" encoding="utf-8"?>
<sst xmlns="http://schemas.openxmlformats.org/spreadsheetml/2006/main" count="390" uniqueCount="135">
  <si>
    <t>Period</t>
  </si>
  <si>
    <t>elyzerStackCapCost</t>
  </si>
  <si>
    <t>elyzerLifetime</t>
  </si>
  <si>
    <t>Node</t>
  </si>
  <si>
    <t>Germany</t>
  </si>
  <si>
    <t>Denmark</t>
  </si>
  <si>
    <t>France</t>
  </si>
  <si>
    <t>ProductionNodes</t>
  </si>
  <si>
    <t>Energyhub EU</t>
  </si>
  <si>
    <t>O&amp;M Cost</t>
  </si>
  <si>
    <t>Source: Assumed 1% of CAPEX (1% number from European Hydrogen Backbone, 2020; Appendix A, Table 5)</t>
  </si>
  <si>
    <t>Source:  Table 2 in Hydrogen Production Cost From PEM Electrolysis - 2019</t>
  </si>
  <si>
    <t>LHV of H2</t>
  </si>
  <si>
    <t>Capacity (GW LHV H2)</t>
  </si>
  <si>
    <t>Capex pipeline (M€/km)</t>
  </si>
  <si>
    <t>Capex compression (M€/km)</t>
  </si>
  <si>
    <t>Source: Extending the European Hydrogen Backbone, 2021; Appendix A, Table 3</t>
  </si>
  <si>
    <t>kWh/kg</t>
  </si>
  <si>
    <t>Capex (M€/(km*kg))</t>
  </si>
  <si>
    <t>Belgium</t>
  </si>
  <si>
    <t>Great Brit.</t>
  </si>
  <si>
    <t>NO2</t>
  </si>
  <si>
    <t>NO5</t>
  </si>
  <si>
    <t>Netherlands</t>
  </si>
  <si>
    <t>kg H2 in 1 TWh (LHV)</t>
  </si>
  <si>
    <t>Pipeline diameter (inches)</t>
  </si>
  <si>
    <t>Electricity usage at 75% capacity (MWe/km)</t>
  </si>
  <si>
    <t>Capacty (GW LHV H2)</t>
  </si>
  <si>
    <t>Electricity usage (MWe/(km*kg H2)</t>
  </si>
  <si>
    <t>Source: Analysing future demand, supply, and transport of hydrogen, 2021 (Table 35)</t>
  </si>
  <si>
    <t>Max capacity [TWh]</t>
  </si>
  <si>
    <t>Source: Table 3 in Picturing the value of underground gas storage to the European hydrogen system by Gas Infrastructure Europe (GIE)</t>
  </si>
  <si>
    <t>Source: Table 5 in Picturing the value of underground gas storage to the European hydrogen system by Gas Infrastructure Europe (GIE)</t>
  </si>
  <si>
    <t>Source: 5% of capital cost</t>
  </si>
  <si>
    <t>Description: Lifetime of electrolyzer plant, before everything needs to be replaced (years) (default 20)</t>
  </si>
  <si>
    <t>eLyzerOMCost</t>
  </si>
  <si>
    <t>Capital cost</t>
  </si>
  <si>
    <t>Electricity usage</t>
  </si>
  <si>
    <t>O&amp;M cost per kg H2</t>
  </si>
  <si>
    <t>Source: Power-To-Hydrogen And Hydrogen-To-X System Analysis Of The Techno-Economic, Legal And Regulatory Conditions, Hydrogen TCP, 2020</t>
  </si>
  <si>
    <t>Description: Electricity consumption (MWh) for producing 1 kg of H2 (Figure 28 in Source)</t>
  </si>
  <si>
    <t>Austria</t>
  </si>
  <si>
    <t>Bulgaria</t>
  </si>
  <si>
    <t>Croatia</t>
  </si>
  <si>
    <t>Czech R</t>
  </si>
  <si>
    <t>Estonia</t>
  </si>
  <si>
    <t>Finland</t>
  </si>
  <si>
    <t>Greece</t>
  </si>
  <si>
    <t>Hungary</t>
  </si>
  <si>
    <t>Ireland</t>
  </si>
  <si>
    <t>Italy</t>
  </si>
  <si>
    <t>Latvia</t>
  </si>
  <si>
    <t>Lithuania</t>
  </si>
  <si>
    <t>Luxemb.</t>
  </si>
  <si>
    <t>Poland</t>
  </si>
  <si>
    <t>Portugal</t>
  </si>
  <si>
    <t>Romania</t>
  </si>
  <si>
    <t>Slovakia</t>
  </si>
  <si>
    <t>Slovenia</t>
  </si>
  <si>
    <t>Spain</t>
  </si>
  <si>
    <t>Sweden</t>
  </si>
  <si>
    <t>Bosnia H</t>
  </si>
  <si>
    <t>Switzerland</t>
  </si>
  <si>
    <t>Macedonia</t>
  </si>
  <si>
    <t>NO1</t>
  </si>
  <si>
    <t>NO3</t>
  </si>
  <si>
    <t>NO4</t>
  </si>
  <si>
    <t>Serbia</t>
  </si>
  <si>
    <t>SMRLifetime</t>
  </si>
  <si>
    <t>SMR</t>
  </si>
  <si>
    <t>LHV Efficiency</t>
  </si>
  <si>
    <t>Plant type</t>
  </si>
  <si>
    <t>SMR_CCS</t>
  </si>
  <si>
    <t>Description: Emission of CO2 (kg) per kg H2 produced (kg CO2/kg H2)</t>
  </si>
  <si>
    <t>GHR_ATR_CCS</t>
  </si>
  <si>
    <t>Source:  Table 21 in Hydrogen4EU report</t>
  </si>
  <si>
    <t>Description: LHV Efficiency of natural gas use for reformer plants</t>
  </si>
  <si>
    <t>Description: Fixed O&amp;M costs for reformer plants</t>
  </si>
  <si>
    <t>Description: Capital cost of reformer plants</t>
  </si>
  <si>
    <t>Description: Lifetime of reformer plants, before everything needs to be replaced (years) (default 25)</t>
  </si>
  <si>
    <t>Description: Variable O&amp;M costs for reformer plants</t>
  </si>
  <si>
    <t>CO2 emisions from natural gas combustion [kg CO2 / kg NG]</t>
  </si>
  <si>
    <t>Hydrogen</t>
  </si>
  <si>
    <t>Methane</t>
  </si>
  <si>
    <t>LHV [MJ/kg]</t>
  </si>
  <si>
    <t>CO2 capture rate [%]</t>
  </si>
  <si>
    <t>Description: Electricity use per kg H2</t>
  </si>
  <si>
    <t>PJ / PJ H2</t>
  </si>
  <si>
    <t>LHV H2</t>
  </si>
  <si>
    <t>MJ/kg</t>
  </si>
  <si>
    <t>PJ / kg H2</t>
  </si>
  <si>
    <t>MWh / PJ</t>
  </si>
  <si>
    <t>MWh / kg</t>
  </si>
  <si>
    <t>Variable O&amp;M cost (EUR/GJ H2)</t>
  </si>
  <si>
    <t>ATR</t>
  </si>
  <si>
    <t>Variable O&amp;M cost (EUR/kg H2)</t>
  </si>
  <si>
    <t>ReformerLocations</t>
  </si>
  <si>
    <t>ReformerPlants</t>
  </si>
  <si>
    <t>Capital cost [EUR/kW H2]</t>
  </si>
  <si>
    <t>Fixed O&amp;M cost [EUR/kW H2]</t>
  </si>
  <si>
    <t>Source:  Table 22 in Hydrogen4EU Report</t>
  </si>
  <si>
    <t>Source:  Efficiency numbers from Table 22 in Hydrogen4EU report + own calculations. 95% capture rate assumed based on conversation with author</t>
  </si>
  <si>
    <t>Hydrogen OCGT</t>
  </si>
  <si>
    <t>Hydrogen CCGT</t>
  </si>
  <si>
    <t>Generators</t>
  </si>
  <si>
    <t>Description: Emission of CO2 (ton) captured per ton H2 produced (ton CO2/ton H2)</t>
  </si>
  <si>
    <t>MWh/kg</t>
  </si>
  <si>
    <t>Ton CO2 emissions captured per ton H2</t>
  </si>
  <si>
    <t>Hydrogen fuel cell</t>
  </si>
  <si>
    <t>Capital cost [EUR/MW H2]</t>
  </si>
  <si>
    <t>Fixed O&amp;M cost [EUR/MW H2]</t>
  </si>
  <si>
    <t>Variable O&amp;M cost [EUR/ton H2]</t>
  </si>
  <si>
    <t>Electricity demand [MWh / ton]</t>
  </si>
  <si>
    <t>Ton CO2 emissions per ton H2</t>
  </si>
  <si>
    <t>El consumption (MWh/kg)</t>
  </si>
  <si>
    <t>El consumption (MWh/ton)</t>
  </si>
  <si>
    <t>Desciption: Capital cost of PEM electrolyzer (€/MWe) (default 999999)</t>
  </si>
  <si>
    <t>Description: Cost of replacing stack in PEM electrolyzer (€/MWe) (default 999999)</t>
  </si>
  <si>
    <t>Capex (M€/(km*ton))</t>
  </si>
  <si>
    <t>Description: Capital cost per km for hydrogen pipelines (€/(ton*km)) (default 999999)</t>
  </si>
  <si>
    <t>Description: O&amp;M cost hydrogen pipelines (€/(ton*km)) (default 999999)</t>
  </si>
  <si>
    <t>Description: Electricity usage in compressors for transporting 1 ton of H2 for 1 km (MWe/(ton*km)) (default 999999)</t>
  </si>
  <si>
    <t>Electricity usage (MWe/(km*ton H2)</t>
  </si>
  <si>
    <t>Capital cost (EUR/kg)</t>
  </si>
  <si>
    <t>Capital cost (EUR/ton)</t>
  </si>
  <si>
    <t>Description: Capital cost of developing the hydrogen storage (assumed to be salt cavern) (EUR/ton) (default 999999)</t>
  </si>
  <si>
    <t>Description: Fixed O&amp;M costs for salt cavern H2 storage (EUR/ton) (default 999999)</t>
  </si>
  <si>
    <t>Max capacity [ton]</t>
  </si>
  <si>
    <t>Description: Maximum H2 storage capacity in each node (ton) (default 0)</t>
  </si>
  <si>
    <t>Source: Assumed covered by fixed O&amp;M</t>
  </si>
  <si>
    <t>elyzerCapCost (€/kWe)</t>
  </si>
  <si>
    <t>elyzerCapCost (€/MWe)</t>
  </si>
  <si>
    <t>Desciption: Fixed O&amp;M (4% of plant capital cost) (€/MWe) (default 999999)</t>
  </si>
  <si>
    <t>Source: Danish Energy Agency (2018)</t>
  </si>
  <si>
    <t>kg/MWh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</si>
</sst>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1" fontId="0" fillId="0" borderId="0" xfId="0" applyNumberFormat="1"/>
    <xf numFmtId="10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551B-B69A-E64C-AAAC-5B42E97490B6}">
  <dimension ref="A1:A4"/>
  <sheetViews>
    <sheetView workbookViewId="0">
      <selection activeCell="A5" sqref="A5"/>
    </sheetView>
  </sheetViews>
  <sheetFormatPr baseColWidth="10" defaultColWidth="11" defaultRowHeight="16" x14ac:dyDescent="0.2"/>
  <sheetData>
    <row r="1" spans="1:1" x14ac:dyDescent="0.2">
      <c r="A1" t="s">
        <v>104</v>
      </c>
    </row>
    <row r="2" spans="1:1" x14ac:dyDescent="0.2">
      <c r="A2" t="s">
        <v>102</v>
      </c>
    </row>
    <row r="3" spans="1:1" x14ac:dyDescent="0.2">
      <c r="A3" t="s">
        <v>103</v>
      </c>
    </row>
    <row r="4" spans="1:1" x14ac:dyDescent="0.2">
      <c r="A4" t="s">
        <v>108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60F9-6052-F04C-980F-90E524D68767}">
  <dimension ref="A1:B6"/>
  <sheetViews>
    <sheetView workbookViewId="0">
      <selection activeCell="A6" sqref="A6:XFD6"/>
    </sheetView>
  </sheetViews>
  <sheetFormatPr baseColWidth="10" defaultColWidth="11" defaultRowHeight="16" x14ac:dyDescent="0.2"/>
  <sheetData>
    <row r="1" spans="1:2" x14ac:dyDescent="0.2">
      <c r="A1" t="s">
        <v>100</v>
      </c>
    </row>
    <row r="2" spans="1:2" x14ac:dyDescent="0.2">
      <c r="A2" t="s">
        <v>79</v>
      </c>
    </row>
    <row r="3" spans="1:2" x14ac:dyDescent="0.2">
      <c r="A3" t="s">
        <v>2</v>
      </c>
      <c r="B3" t="s">
        <v>68</v>
      </c>
    </row>
    <row r="4" spans="1:2" x14ac:dyDescent="0.2">
      <c r="A4" t="s">
        <v>69</v>
      </c>
      <c r="B4">
        <v>25</v>
      </c>
    </row>
    <row r="5" spans="1:2" x14ac:dyDescent="0.2">
      <c r="A5" t="s">
        <v>72</v>
      </c>
      <c r="B5">
        <v>25</v>
      </c>
    </row>
    <row r="6" spans="1:2" x14ac:dyDescent="0.2">
      <c r="A6" t="s">
        <v>74</v>
      </c>
      <c r="B6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3942-A81D-F244-86B6-CFF02FEBECBE}">
  <dimension ref="A1:H27"/>
  <sheetViews>
    <sheetView workbookViewId="0">
      <selection activeCell="A20" sqref="A20:XFD27"/>
    </sheetView>
  </sheetViews>
  <sheetFormatPr baseColWidth="10" defaultColWidth="11" defaultRowHeight="16" x14ac:dyDescent="0.2"/>
  <sheetData>
    <row r="1" spans="1:8" x14ac:dyDescent="0.2">
      <c r="A1" t="s">
        <v>101</v>
      </c>
    </row>
    <row r="2" spans="1:8" x14ac:dyDescent="0.2">
      <c r="A2" t="s">
        <v>73</v>
      </c>
    </row>
    <row r="3" spans="1:8" x14ac:dyDescent="0.2">
      <c r="A3" t="s">
        <v>71</v>
      </c>
      <c r="B3" t="s">
        <v>0</v>
      </c>
      <c r="C3" t="s">
        <v>113</v>
      </c>
    </row>
    <row r="4" spans="1:8" x14ac:dyDescent="0.2">
      <c r="A4" t="s">
        <v>69</v>
      </c>
      <c r="B4">
        <v>1</v>
      </c>
      <c r="C4" s="2">
        <f>1/ReformerEfficiency!C4*$H$8/$H$9*$G$5</f>
        <v>8.6922493765586051</v>
      </c>
      <c r="G4" s="5" t="s">
        <v>81</v>
      </c>
    </row>
    <row r="5" spans="1:8" x14ac:dyDescent="0.2">
      <c r="A5" t="s">
        <v>69</v>
      </c>
      <c r="B5">
        <v>2</v>
      </c>
      <c r="C5" s="2">
        <f>1/ReformerEfficiency!C5*$H$8/$H$9*$G$5</f>
        <v>8.6922493765586051</v>
      </c>
      <c r="G5" s="6">
        <f>44.01/16.04</f>
        <v>2.7437655860349128</v>
      </c>
    </row>
    <row r="6" spans="1:8" x14ac:dyDescent="0.2">
      <c r="A6" t="s">
        <v>69</v>
      </c>
      <c r="B6">
        <v>3</v>
      </c>
      <c r="C6" s="2">
        <f>1/ReformerEfficiency!C6*$H$8/$H$9*$G$5</f>
        <v>8.6922493765586051</v>
      </c>
    </row>
    <row r="7" spans="1:8" x14ac:dyDescent="0.2">
      <c r="A7" t="s">
        <v>69</v>
      </c>
      <c r="B7">
        <v>4</v>
      </c>
      <c r="C7" s="2">
        <f>1/ReformerEfficiency!C7*$H$8/$H$9*$G$5</f>
        <v>8.6922493765586051</v>
      </c>
      <c r="H7" s="5" t="s">
        <v>84</v>
      </c>
    </row>
    <row r="8" spans="1:8" x14ac:dyDescent="0.2">
      <c r="A8" t="s">
        <v>69</v>
      </c>
      <c r="B8">
        <v>5</v>
      </c>
      <c r="C8" s="2">
        <f>1/ReformerEfficiency!C8*$H$8/$H$9*$G$5</f>
        <v>8.6922493765586051</v>
      </c>
      <c r="G8" s="5" t="s">
        <v>82</v>
      </c>
      <c r="H8">
        <v>120</v>
      </c>
    </row>
    <row r="9" spans="1:8" x14ac:dyDescent="0.2">
      <c r="A9" t="s">
        <v>69</v>
      </c>
      <c r="B9">
        <v>6</v>
      </c>
      <c r="C9" s="2">
        <f>1/ReformerEfficiency!C9*$H$8/$H$9*$G$5</f>
        <v>8.6922493765586051</v>
      </c>
      <c r="G9" s="5" t="s">
        <v>83</v>
      </c>
      <c r="H9">
        <v>50</v>
      </c>
    </row>
    <row r="10" spans="1:8" x14ac:dyDescent="0.2">
      <c r="A10" t="s">
        <v>69</v>
      </c>
      <c r="B10">
        <v>7</v>
      </c>
      <c r="C10" s="2">
        <f>1/ReformerEfficiency!C10*$H$8/$H$9*$G$5</f>
        <v>8.6922493765586051</v>
      </c>
    </row>
    <row r="11" spans="1:8" x14ac:dyDescent="0.2">
      <c r="A11" t="s">
        <v>69</v>
      </c>
      <c r="B11">
        <v>8</v>
      </c>
      <c r="C11" s="2">
        <f>1/ReformerEfficiency!C11*$H$8/$H$9*$G$5</f>
        <v>8.6922493765586051</v>
      </c>
      <c r="H11" s="5" t="s">
        <v>85</v>
      </c>
    </row>
    <row r="12" spans="1:8" x14ac:dyDescent="0.2">
      <c r="A12" t="s">
        <v>72</v>
      </c>
      <c r="B12">
        <v>1</v>
      </c>
      <c r="C12" s="2">
        <f>1/ReformerEfficiency!C12*$H$8/$H$9*$G$5*(1-$H$12)</f>
        <v>0.91202768079800478</v>
      </c>
      <c r="G12" s="5" t="s">
        <v>69</v>
      </c>
      <c r="H12" s="5">
        <v>0.9</v>
      </c>
    </row>
    <row r="13" spans="1:8" x14ac:dyDescent="0.2">
      <c r="A13" t="s">
        <v>72</v>
      </c>
      <c r="B13">
        <v>2</v>
      </c>
      <c r="C13" s="2">
        <f>1/ReformerEfficiency!C13*$H$8/$H$9*$G$5*(1-$H$12)</f>
        <v>0.91202768079800478</v>
      </c>
      <c r="G13" s="5" t="s">
        <v>94</v>
      </c>
      <c r="H13" s="5">
        <v>0.93</v>
      </c>
    </row>
    <row r="14" spans="1:8" x14ac:dyDescent="0.2">
      <c r="A14" t="s">
        <v>72</v>
      </c>
      <c r="B14">
        <v>3</v>
      </c>
      <c r="C14" s="2">
        <f>1/ReformerEfficiency!C14*$H$8/$H$9*$G$5*(1-$H$12)</f>
        <v>0.91202768079800478</v>
      </c>
    </row>
    <row r="15" spans="1:8" x14ac:dyDescent="0.2">
      <c r="A15" t="s">
        <v>72</v>
      </c>
      <c r="B15">
        <v>4</v>
      </c>
      <c r="C15" s="2">
        <f>1/ReformerEfficiency!C15*$H$8/$H$9*$G$5*(1-$H$12)</f>
        <v>0.91202768079800478</v>
      </c>
    </row>
    <row r="16" spans="1:8" x14ac:dyDescent="0.2">
      <c r="A16" t="s">
        <v>72</v>
      </c>
      <c r="B16">
        <v>5</v>
      </c>
      <c r="C16" s="2">
        <f>1/ReformerEfficiency!C16*$H$8/$H$9*$G$5*(1-$H$12)</f>
        <v>0.91202768079800478</v>
      </c>
    </row>
    <row r="17" spans="1:3" x14ac:dyDescent="0.2">
      <c r="A17" t="s">
        <v>72</v>
      </c>
      <c r="B17">
        <v>6</v>
      </c>
      <c r="C17" s="2">
        <f>1/ReformerEfficiency!C17*$H$8/$H$9*$G$5*(1-$H$12)</f>
        <v>0.91202768079800478</v>
      </c>
    </row>
    <row r="18" spans="1:3" x14ac:dyDescent="0.2">
      <c r="A18" t="s">
        <v>72</v>
      </c>
      <c r="B18">
        <v>7</v>
      </c>
      <c r="C18" s="2">
        <f>1/ReformerEfficiency!C18*$H$8/$H$9*$G$5*(1-$H$12)</f>
        <v>0.91202768079800478</v>
      </c>
    </row>
    <row r="19" spans="1:3" x14ac:dyDescent="0.2">
      <c r="A19" t="s">
        <v>72</v>
      </c>
      <c r="B19">
        <v>8</v>
      </c>
      <c r="C19" s="2">
        <f>1/ReformerEfficiency!C19*$H$8/$H$9*$G$5*(1-$H$12)</f>
        <v>0.91202768079800478</v>
      </c>
    </row>
    <row r="20" spans="1:3" x14ac:dyDescent="0.2">
      <c r="A20" s="1" t="s">
        <v>74</v>
      </c>
      <c r="B20">
        <v>1</v>
      </c>
      <c r="C20" s="2">
        <f>1/ReformerEfficiency!C20*$H$8/$H$9*$G$5*(1-$H$13)</f>
        <v>0.59001935162094732</v>
      </c>
    </row>
    <row r="21" spans="1:3" x14ac:dyDescent="0.2">
      <c r="A21" s="1" t="s">
        <v>74</v>
      </c>
      <c r="B21">
        <v>2</v>
      </c>
      <c r="C21" s="2">
        <f>1/ReformerEfficiency!C21*$H$8/$H$9*$G$5*(1-$H$13)</f>
        <v>0.59001935162094732</v>
      </c>
    </row>
    <row r="22" spans="1:3" x14ac:dyDescent="0.2">
      <c r="A22" s="1" t="s">
        <v>74</v>
      </c>
      <c r="B22">
        <v>3</v>
      </c>
      <c r="C22" s="2">
        <f>1/ReformerEfficiency!C22*$H$8/$H$9*$G$5*(1-$H$13)</f>
        <v>0.553143142144638</v>
      </c>
    </row>
    <row r="23" spans="1:3" x14ac:dyDescent="0.2">
      <c r="A23" s="1" t="s">
        <v>74</v>
      </c>
      <c r="B23">
        <v>4</v>
      </c>
      <c r="C23" s="2">
        <f>1/ReformerEfficiency!C23*$H$8/$H$9*$G$5*(1-$H$13)</f>
        <v>0.553143142144638</v>
      </c>
    </row>
    <row r="24" spans="1:3" x14ac:dyDescent="0.2">
      <c r="A24" s="1" t="s">
        <v>74</v>
      </c>
      <c r="B24">
        <v>5</v>
      </c>
      <c r="C24" s="2">
        <f>1/ReformerEfficiency!C24*$H$8/$H$9*$G$5*(1-$H$13)</f>
        <v>0.553143142144638</v>
      </c>
    </row>
    <row r="25" spans="1:3" x14ac:dyDescent="0.2">
      <c r="A25" s="1" t="s">
        <v>74</v>
      </c>
      <c r="B25">
        <v>6</v>
      </c>
      <c r="C25" s="2">
        <f>1/ReformerEfficiency!C25*$H$8/$H$9*$G$5*(1-$H$13)</f>
        <v>0.553143142144638</v>
      </c>
    </row>
    <row r="26" spans="1:3" x14ac:dyDescent="0.2">
      <c r="A26" s="1" t="s">
        <v>74</v>
      </c>
      <c r="B26">
        <v>7</v>
      </c>
      <c r="C26" s="2">
        <f>1/ReformerEfficiency!C26*$H$8/$H$9*$G$5*(1-$H$13)</f>
        <v>0.553143142144638</v>
      </c>
    </row>
    <row r="27" spans="1:3" x14ac:dyDescent="0.2">
      <c r="A27" s="1" t="s">
        <v>74</v>
      </c>
      <c r="B27">
        <v>8</v>
      </c>
      <c r="C27" s="2">
        <f>1/ReformerEfficiency!C27*$H$8/$H$9*$G$5*(1-$H$13)</f>
        <v>0.553143142144638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3607-8321-7A44-A305-CFF5213B4E28}">
  <dimension ref="A1:P27"/>
  <sheetViews>
    <sheetView workbookViewId="0">
      <selection activeCell="A20" sqref="A20:XFD27"/>
    </sheetView>
  </sheetViews>
  <sheetFormatPr baseColWidth="10" defaultColWidth="11" defaultRowHeight="16" x14ac:dyDescent="0.2"/>
  <sheetData>
    <row r="1" spans="1:16" x14ac:dyDescent="0.2">
      <c r="A1" t="s">
        <v>101</v>
      </c>
      <c r="N1" s="5" t="s">
        <v>88</v>
      </c>
      <c r="O1" s="5">
        <v>120</v>
      </c>
      <c r="P1" s="5" t="s">
        <v>89</v>
      </c>
    </row>
    <row r="2" spans="1:16" x14ac:dyDescent="0.2">
      <c r="A2" t="s">
        <v>105</v>
      </c>
      <c r="O2" s="5">
        <f>33.3/1000</f>
        <v>3.3299999999999996E-2</v>
      </c>
      <c r="P2" s="5" t="s">
        <v>106</v>
      </c>
    </row>
    <row r="3" spans="1:16" x14ac:dyDescent="0.2">
      <c r="A3" t="s">
        <v>71</v>
      </c>
      <c r="B3" t="s">
        <v>0</v>
      </c>
      <c r="C3" t="s">
        <v>107</v>
      </c>
    </row>
    <row r="4" spans="1:16" x14ac:dyDescent="0.2">
      <c r="A4" t="s">
        <v>69</v>
      </c>
      <c r="B4">
        <v>1</v>
      </c>
      <c r="C4" s="2">
        <v>0</v>
      </c>
      <c r="G4" s="5" t="s">
        <v>81</v>
      </c>
    </row>
    <row r="5" spans="1:16" x14ac:dyDescent="0.2">
      <c r="A5" t="s">
        <v>69</v>
      </c>
      <c r="B5">
        <v>2</v>
      </c>
      <c r="C5" s="2">
        <v>0</v>
      </c>
      <c r="G5" s="6">
        <f>44.01/16.04</f>
        <v>2.7437655860349128</v>
      </c>
    </row>
    <row r="6" spans="1:16" x14ac:dyDescent="0.2">
      <c r="A6" t="s">
        <v>69</v>
      </c>
      <c r="B6">
        <v>3</v>
      </c>
      <c r="C6" s="2">
        <v>0</v>
      </c>
    </row>
    <row r="7" spans="1:16" x14ac:dyDescent="0.2">
      <c r="A7" t="s">
        <v>69</v>
      </c>
      <c r="B7">
        <v>4</v>
      </c>
      <c r="C7" s="2">
        <v>0</v>
      </c>
      <c r="H7" s="5" t="s">
        <v>84</v>
      </c>
    </row>
    <row r="8" spans="1:16" x14ac:dyDescent="0.2">
      <c r="A8" t="s">
        <v>69</v>
      </c>
      <c r="B8">
        <v>5</v>
      </c>
      <c r="C8" s="2">
        <v>0</v>
      </c>
      <c r="G8" s="5" t="s">
        <v>82</v>
      </c>
      <c r="H8">
        <v>120</v>
      </c>
    </row>
    <row r="9" spans="1:16" x14ac:dyDescent="0.2">
      <c r="A9" t="s">
        <v>69</v>
      </c>
      <c r="B9">
        <v>6</v>
      </c>
      <c r="C9" s="2">
        <v>0</v>
      </c>
      <c r="G9" s="5" t="s">
        <v>83</v>
      </c>
      <c r="H9">
        <v>50</v>
      </c>
    </row>
    <row r="10" spans="1:16" x14ac:dyDescent="0.2">
      <c r="A10" t="s">
        <v>69</v>
      </c>
      <c r="B10">
        <v>7</v>
      </c>
      <c r="C10" s="2">
        <v>0</v>
      </c>
    </row>
    <row r="11" spans="1:16" x14ac:dyDescent="0.2">
      <c r="A11" t="s">
        <v>69</v>
      </c>
      <c r="B11">
        <v>8</v>
      </c>
      <c r="C11" s="2">
        <v>0</v>
      </c>
      <c r="H11" s="5" t="s">
        <v>85</v>
      </c>
    </row>
    <row r="12" spans="1:16" x14ac:dyDescent="0.2">
      <c r="A12" t="s">
        <v>72</v>
      </c>
      <c r="B12">
        <v>1</v>
      </c>
      <c r="C12" s="2">
        <f>1/ReformerEfficiency!C12*$H$8/$H$9*$G$5*($H$12)</f>
        <v>8.2082491271820448</v>
      </c>
      <c r="G12" s="5" t="s">
        <v>69</v>
      </c>
      <c r="H12" s="5">
        <v>0.9</v>
      </c>
    </row>
    <row r="13" spans="1:16" x14ac:dyDescent="0.2">
      <c r="A13" t="s">
        <v>72</v>
      </c>
      <c r="B13">
        <v>2</v>
      </c>
      <c r="C13" s="2">
        <f>1/ReformerEfficiency!C13*$H$8/$H$9*$G$5*($H$12)</f>
        <v>8.2082491271820448</v>
      </c>
      <c r="G13" s="5" t="s">
        <v>94</v>
      </c>
      <c r="H13" s="5">
        <v>0.93</v>
      </c>
    </row>
    <row r="14" spans="1:16" x14ac:dyDescent="0.2">
      <c r="A14" t="s">
        <v>72</v>
      </c>
      <c r="B14">
        <v>3</v>
      </c>
      <c r="C14" s="2">
        <f>1/ReformerEfficiency!C14*$H$8/$H$9*$G$5*($H$12)</f>
        <v>8.2082491271820448</v>
      </c>
    </row>
    <row r="15" spans="1:16" x14ac:dyDescent="0.2">
      <c r="A15" t="s">
        <v>72</v>
      </c>
      <c r="B15">
        <v>4</v>
      </c>
      <c r="C15" s="2">
        <f>1/ReformerEfficiency!C15*$H$8/$H$9*$G$5*($H$12)</f>
        <v>8.2082491271820448</v>
      </c>
    </row>
    <row r="16" spans="1:16" x14ac:dyDescent="0.2">
      <c r="A16" t="s">
        <v>72</v>
      </c>
      <c r="B16">
        <v>5</v>
      </c>
      <c r="C16" s="2">
        <f>1/ReformerEfficiency!C16*$H$8/$H$9*$G$5*($H$12)</f>
        <v>8.2082491271820448</v>
      </c>
    </row>
    <row r="17" spans="1:3" x14ac:dyDescent="0.2">
      <c r="A17" t="s">
        <v>72</v>
      </c>
      <c r="B17">
        <v>6</v>
      </c>
      <c r="C17" s="2">
        <f>1/ReformerEfficiency!C17*$H$8/$H$9*$G$5*($H$12)</f>
        <v>8.2082491271820448</v>
      </c>
    </row>
    <row r="18" spans="1:3" x14ac:dyDescent="0.2">
      <c r="A18" t="s">
        <v>72</v>
      </c>
      <c r="B18">
        <v>7</v>
      </c>
      <c r="C18" s="2">
        <f>1/ReformerEfficiency!C18*$H$8/$H$9*$G$5*($H$12)</f>
        <v>8.2082491271820448</v>
      </c>
    </row>
    <row r="19" spans="1:3" x14ac:dyDescent="0.2">
      <c r="A19" t="s">
        <v>72</v>
      </c>
      <c r="B19">
        <v>8</v>
      </c>
      <c r="C19" s="2">
        <f>1/ReformerEfficiency!C19*$H$8/$H$9*$G$5*($H$12)</f>
        <v>8.2082491271820448</v>
      </c>
    </row>
    <row r="20" spans="1:3" x14ac:dyDescent="0.2">
      <c r="A20" s="1" t="s">
        <v>74</v>
      </c>
      <c r="B20">
        <v>1</v>
      </c>
      <c r="C20" s="2">
        <f>1/ReformerEfficiency!C20*$H$8/$H$9*$G$5*($H$13)</f>
        <v>7.8388285286783059</v>
      </c>
    </row>
    <row r="21" spans="1:3" x14ac:dyDescent="0.2">
      <c r="A21" s="1" t="s">
        <v>74</v>
      </c>
      <c r="B21">
        <v>2</v>
      </c>
      <c r="C21" s="2">
        <f>1/ReformerEfficiency!C21*$H$8/$H$9*$G$5*($H$13)</f>
        <v>7.8388285286783059</v>
      </c>
    </row>
    <row r="22" spans="1:3" x14ac:dyDescent="0.2">
      <c r="A22" s="1" t="s">
        <v>74</v>
      </c>
      <c r="B22">
        <v>3</v>
      </c>
      <c r="C22" s="2">
        <f>1/ReformerEfficiency!C22*$H$8/$H$9*$G$5*($H$13)</f>
        <v>7.3489017456359109</v>
      </c>
    </row>
    <row r="23" spans="1:3" x14ac:dyDescent="0.2">
      <c r="A23" s="1" t="s">
        <v>74</v>
      </c>
      <c r="B23">
        <v>4</v>
      </c>
      <c r="C23" s="2">
        <f>1/ReformerEfficiency!C23*$H$8/$H$9*$G$5*($H$13)</f>
        <v>7.3489017456359109</v>
      </c>
    </row>
    <row r="24" spans="1:3" x14ac:dyDescent="0.2">
      <c r="A24" s="1" t="s">
        <v>74</v>
      </c>
      <c r="B24">
        <v>5</v>
      </c>
      <c r="C24" s="2">
        <f>1/ReformerEfficiency!C24*$H$8/$H$9*$G$5*($H$13)</f>
        <v>7.3489017456359109</v>
      </c>
    </row>
    <row r="25" spans="1:3" x14ac:dyDescent="0.2">
      <c r="A25" s="1" t="s">
        <v>74</v>
      </c>
      <c r="B25">
        <v>6</v>
      </c>
      <c r="C25" s="2">
        <f>1/ReformerEfficiency!C25*$H$8/$H$9*$G$5*($H$13)</f>
        <v>7.3489017456359109</v>
      </c>
    </row>
    <row r="26" spans="1:3" x14ac:dyDescent="0.2">
      <c r="A26" s="1" t="s">
        <v>74</v>
      </c>
      <c r="B26">
        <v>7</v>
      </c>
      <c r="C26" s="2">
        <f>1/ReformerEfficiency!C26*$H$8/$H$9*$G$5*($H$13)</f>
        <v>7.3489017456359109</v>
      </c>
    </row>
    <row r="27" spans="1:3" x14ac:dyDescent="0.2">
      <c r="A27" s="1" t="s">
        <v>74</v>
      </c>
      <c r="B27">
        <v>8</v>
      </c>
      <c r="C27" s="2">
        <f>1/ReformerEfficiency!C27*$H$8/$H$9*$G$5*($H$13)</f>
        <v>7.3489017456359109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AC24E-CABF-B84A-AC03-912BDB717573}">
  <dimension ref="A1:G11"/>
  <sheetViews>
    <sheetView tabSelected="1" workbookViewId="0">
      <selection activeCell="B3" sqref="B3:G11"/>
    </sheetView>
  </sheetViews>
  <sheetFormatPr baseColWidth="10" defaultColWidth="11" defaultRowHeight="16" x14ac:dyDescent="0.2"/>
  <sheetData>
    <row r="1" spans="1:7" x14ac:dyDescent="0.2">
      <c r="A1" t="s">
        <v>133</v>
      </c>
    </row>
    <row r="2" spans="1:7" x14ac:dyDescent="0.2">
      <c r="A2" t="s">
        <v>116</v>
      </c>
    </row>
    <row r="3" spans="1:7" x14ac:dyDescent="0.2">
      <c r="A3" t="s">
        <v>0</v>
      </c>
      <c r="B3" t="s">
        <v>131</v>
      </c>
      <c r="G3" t="s">
        <v>130</v>
      </c>
    </row>
    <row r="4" spans="1:7" x14ac:dyDescent="0.2">
      <c r="A4">
        <v>1</v>
      </c>
      <c r="B4">
        <f>G4*10^3</f>
        <v>925000</v>
      </c>
      <c r="G4">
        <v>925</v>
      </c>
    </row>
    <row r="5" spans="1:7" x14ac:dyDescent="0.2">
      <c r="A5">
        <v>2</v>
      </c>
      <c r="B5">
        <f t="shared" ref="B5:B11" si="0">G5*10^3</f>
        <v>925000</v>
      </c>
      <c r="G5">
        <v>925</v>
      </c>
    </row>
    <row r="6" spans="1:7" x14ac:dyDescent="0.2">
      <c r="A6">
        <v>3</v>
      </c>
      <c r="B6">
        <f t="shared" si="0"/>
        <v>650000</v>
      </c>
      <c r="G6">
        <v>650</v>
      </c>
    </row>
    <row r="7" spans="1:7" x14ac:dyDescent="0.2">
      <c r="A7">
        <v>4</v>
      </c>
      <c r="B7">
        <f t="shared" si="0"/>
        <v>650000</v>
      </c>
      <c r="G7">
        <v>650</v>
      </c>
    </row>
    <row r="8" spans="1:7" x14ac:dyDescent="0.2">
      <c r="A8">
        <v>5</v>
      </c>
      <c r="B8">
        <f t="shared" si="0"/>
        <v>450000</v>
      </c>
      <c r="G8">
        <v>450</v>
      </c>
    </row>
    <row r="9" spans="1:7" x14ac:dyDescent="0.2">
      <c r="A9">
        <v>6</v>
      </c>
      <c r="B9">
        <f t="shared" si="0"/>
        <v>450000</v>
      </c>
      <c r="G9">
        <v>450</v>
      </c>
    </row>
    <row r="10" spans="1:7" x14ac:dyDescent="0.2">
      <c r="A10">
        <v>7</v>
      </c>
      <c r="B10">
        <f t="shared" si="0"/>
        <v>400000</v>
      </c>
      <c r="G10">
        <v>400</v>
      </c>
    </row>
    <row r="11" spans="1:7" x14ac:dyDescent="0.2">
      <c r="A11">
        <v>8</v>
      </c>
      <c r="B11">
        <f t="shared" si="0"/>
        <v>400000</v>
      </c>
      <c r="G11">
        <v>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B24-FB93-2B47-BB70-2727D41F935B}">
  <dimension ref="A1:B11"/>
  <sheetViews>
    <sheetView workbookViewId="0">
      <selection activeCell="B4" sqref="B4:B11"/>
    </sheetView>
  </sheetViews>
  <sheetFormatPr baseColWidth="10" defaultColWidth="11" defaultRowHeight="16" x14ac:dyDescent="0.2"/>
  <sheetData>
    <row r="1" spans="1:2" x14ac:dyDescent="0.2">
      <c r="A1" t="s">
        <v>133</v>
      </c>
    </row>
    <row r="2" spans="1:2" x14ac:dyDescent="0.2">
      <c r="A2" t="s">
        <v>132</v>
      </c>
    </row>
    <row r="3" spans="1:2" x14ac:dyDescent="0.2">
      <c r="A3" t="s">
        <v>0</v>
      </c>
      <c r="B3" t="s">
        <v>35</v>
      </c>
    </row>
    <row r="4" spans="1:2" x14ac:dyDescent="0.2">
      <c r="A4">
        <v>1</v>
      </c>
      <c r="B4">
        <f>0.04*ElectrolyzerPlantCapitalCost!B4</f>
        <v>37000</v>
      </c>
    </row>
    <row r="5" spans="1:2" x14ac:dyDescent="0.2">
      <c r="A5">
        <v>2</v>
      </c>
      <c r="B5">
        <f>0.04*ElectrolyzerPlantCapitalCost!B5</f>
        <v>37000</v>
      </c>
    </row>
    <row r="6" spans="1:2" x14ac:dyDescent="0.2">
      <c r="A6">
        <v>3</v>
      </c>
      <c r="B6">
        <f>0.04*ElectrolyzerPlantCapitalCost!B6</f>
        <v>26000</v>
      </c>
    </row>
    <row r="7" spans="1:2" x14ac:dyDescent="0.2">
      <c r="A7">
        <v>4</v>
      </c>
      <c r="B7">
        <f>0.04*ElectrolyzerPlantCapitalCost!B7</f>
        <v>26000</v>
      </c>
    </row>
    <row r="8" spans="1:2" x14ac:dyDescent="0.2">
      <c r="A8">
        <v>5</v>
      </c>
      <c r="B8">
        <f>0.04*ElectrolyzerPlantCapitalCost!B8</f>
        <v>18000</v>
      </c>
    </row>
    <row r="9" spans="1:2" x14ac:dyDescent="0.2">
      <c r="A9">
        <v>6</v>
      </c>
      <c r="B9">
        <f>0.04*ElectrolyzerPlantCapitalCost!B9</f>
        <v>18000</v>
      </c>
    </row>
    <row r="10" spans="1:2" x14ac:dyDescent="0.2">
      <c r="A10">
        <v>7</v>
      </c>
      <c r="B10">
        <f>0.04*ElectrolyzerPlantCapitalCost!B10</f>
        <v>16000</v>
      </c>
    </row>
    <row r="11" spans="1:2" x14ac:dyDescent="0.2">
      <c r="A11">
        <v>8</v>
      </c>
      <c r="B11">
        <f>0.04*ElectrolyzerPlantCapitalCost!B11</f>
        <v>16000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4405-4077-F94F-822B-3084C5C8DF5D}">
  <dimension ref="A1:B11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t="s">
        <v>129</v>
      </c>
    </row>
    <row r="2" spans="1:2" x14ac:dyDescent="0.2">
      <c r="A2" t="s">
        <v>117</v>
      </c>
    </row>
    <row r="3" spans="1:2" x14ac:dyDescent="0.2">
      <c r="A3" t="s">
        <v>0</v>
      </c>
      <c r="B3" t="s">
        <v>1</v>
      </c>
    </row>
    <row r="4" spans="1:2" x14ac:dyDescent="0.2">
      <c r="A4">
        <v>1</v>
      </c>
      <c r="B4">
        <v>0</v>
      </c>
    </row>
    <row r="5" spans="1:2" x14ac:dyDescent="0.2">
      <c r="A5">
        <v>2</v>
      </c>
      <c r="B5">
        <v>0</v>
      </c>
    </row>
    <row r="6" spans="1:2" x14ac:dyDescent="0.2">
      <c r="A6">
        <v>3</v>
      </c>
      <c r="B6">
        <v>0</v>
      </c>
    </row>
    <row r="7" spans="1:2" x14ac:dyDescent="0.2">
      <c r="A7">
        <v>4</v>
      </c>
      <c r="B7">
        <v>0</v>
      </c>
    </row>
    <row r="8" spans="1:2" x14ac:dyDescent="0.2">
      <c r="A8">
        <v>5</v>
      </c>
      <c r="B8">
        <v>0</v>
      </c>
    </row>
    <row r="9" spans="1:2" x14ac:dyDescent="0.2">
      <c r="A9">
        <v>6</v>
      </c>
      <c r="B9">
        <v>0</v>
      </c>
    </row>
    <row r="10" spans="1:2" x14ac:dyDescent="0.2">
      <c r="A10">
        <v>7</v>
      </c>
      <c r="B10">
        <v>0</v>
      </c>
    </row>
    <row r="11" spans="1:2" x14ac:dyDescent="0.2">
      <c r="A11">
        <v>8</v>
      </c>
      <c r="B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8E7F-9523-8044-ACCB-33786B254981}">
  <dimension ref="A1:A4"/>
  <sheetViews>
    <sheetView workbookViewId="0">
      <selection activeCell="A5" sqref="A5"/>
    </sheetView>
  </sheetViews>
  <sheetFormatPr baseColWidth="10" defaultColWidth="11" defaultRowHeight="16" x14ac:dyDescent="0.2"/>
  <sheetData>
    <row r="1" spans="1:1" x14ac:dyDescent="0.2">
      <c r="A1" t="s">
        <v>11</v>
      </c>
    </row>
    <row r="2" spans="1:1" x14ac:dyDescent="0.2">
      <c r="A2" t="s">
        <v>34</v>
      </c>
    </row>
    <row r="3" spans="1:1" x14ac:dyDescent="0.2">
      <c r="A3" t="s">
        <v>2</v>
      </c>
    </row>
    <row r="4" spans="1:1" x14ac:dyDescent="0.2">
      <c r="A4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4B03-BAA5-1E45-BBA0-24D02E199CA8}">
  <dimension ref="A1:I11"/>
  <sheetViews>
    <sheetView workbookViewId="0">
      <selection activeCell="B4" sqref="B4"/>
    </sheetView>
  </sheetViews>
  <sheetFormatPr baseColWidth="10" defaultColWidth="11" defaultRowHeight="16" x14ac:dyDescent="0.2"/>
  <sheetData>
    <row r="1" spans="1:9" x14ac:dyDescent="0.2">
      <c r="A1" t="s">
        <v>39</v>
      </c>
    </row>
    <row r="2" spans="1:9" x14ac:dyDescent="0.2">
      <c r="A2" t="s">
        <v>40</v>
      </c>
    </row>
    <row r="3" spans="1:9" x14ac:dyDescent="0.2">
      <c r="A3" t="s">
        <v>0</v>
      </c>
      <c r="B3" t="s">
        <v>115</v>
      </c>
      <c r="D3" t="s">
        <v>114</v>
      </c>
      <c r="I3" t="s">
        <v>134</v>
      </c>
    </row>
    <row r="4" spans="1:9" x14ac:dyDescent="0.2">
      <c r="A4">
        <v>1</v>
      </c>
      <c r="B4" s="2">
        <f>1/I4*10^3</f>
        <v>57.46551724137931</v>
      </c>
      <c r="D4">
        <f>55/1000</f>
        <v>5.5E-2</v>
      </c>
      <c r="I4" s="2">
        <v>17.401740174017402</v>
      </c>
    </row>
    <row r="5" spans="1:9" x14ac:dyDescent="0.2">
      <c r="A5">
        <v>2</v>
      </c>
      <c r="B5" s="2">
        <f t="shared" ref="B5:B11" si="0">1/I5*10^3</f>
        <v>57.46551724137931</v>
      </c>
      <c r="D5">
        <f>52.5/1000</f>
        <v>5.2499999999999998E-2</v>
      </c>
      <c r="I5" s="2">
        <v>17.401740174017402</v>
      </c>
    </row>
    <row r="6" spans="1:9" x14ac:dyDescent="0.2">
      <c r="A6">
        <v>3</v>
      </c>
      <c r="B6" s="2">
        <f t="shared" si="0"/>
        <v>50.885496183206101</v>
      </c>
      <c r="D6">
        <f>D5</f>
        <v>5.2499999999999998E-2</v>
      </c>
      <c r="I6" s="2">
        <v>19.651965196519654</v>
      </c>
    </row>
    <row r="7" spans="1:9" x14ac:dyDescent="0.2">
      <c r="A7">
        <v>4</v>
      </c>
      <c r="B7" s="2">
        <f t="shared" si="0"/>
        <v>50.885496183206101</v>
      </c>
      <c r="D7">
        <f>47.5/1000</f>
        <v>4.7500000000000001E-2</v>
      </c>
      <c r="I7" s="2">
        <v>19.651965196519654</v>
      </c>
    </row>
    <row r="8" spans="1:9" x14ac:dyDescent="0.2">
      <c r="A8">
        <v>5</v>
      </c>
      <c r="B8" s="2">
        <f t="shared" si="0"/>
        <v>49.014705882352942</v>
      </c>
      <c r="D8">
        <f>D7</f>
        <v>4.7500000000000001E-2</v>
      </c>
      <c r="I8" s="2">
        <v>20.402040204020402</v>
      </c>
    </row>
    <row r="9" spans="1:9" x14ac:dyDescent="0.2">
      <c r="A9">
        <v>6</v>
      </c>
      <c r="B9" s="2">
        <f t="shared" si="0"/>
        <v>49.014705882352942</v>
      </c>
      <c r="D9">
        <f t="shared" ref="D9:D11" si="1">D8</f>
        <v>4.7500000000000001E-2</v>
      </c>
      <c r="I9" s="2">
        <v>20.402040204020402</v>
      </c>
    </row>
    <row r="10" spans="1:9" x14ac:dyDescent="0.2">
      <c r="A10">
        <v>7</v>
      </c>
      <c r="B10" s="2">
        <f t="shared" si="0"/>
        <v>47.276595744680854</v>
      </c>
      <c r="D10">
        <f t="shared" si="1"/>
        <v>4.7500000000000001E-2</v>
      </c>
      <c r="I10" s="2">
        <v>21.152115211521149</v>
      </c>
    </row>
    <row r="11" spans="1:9" x14ac:dyDescent="0.2">
      <c r="A11">
        <v>8</v>
      </c>
      <c r="B11" s="2">
        <f t="shared" si="0"/>
        <v>47.276595744680854</v>
      </c>
      <c r="D11">
        <f t="shared" si="1"/>
        <v>4.7500000000000001E-2</v>
      </c>
      <c r="I11" s="2">
        <v>21.152115211521149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6011-9905-4640-862F-026047DDC4F5}">
  <dimension ref="A1:B11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t="s">
        <v>16</v>
      </c>
    </row>
    <row r="2" spans="1:2" x14ac:dyDescent="0.2">
      <c r="A2" t="s">
        <v>119</v>
      </c>
    </row>
    <row r="3" spans="1:2" x14ac:dyDescent="0.2">
      <c r="A3" t="s">
        <v>0</v>
      </c>
      <c r="B3" t="s">
        <v>36</v>
      </c>
    </row>
    <row r="4" spans="1:2" x14ac:dyDescent="0.2">
      <c r="A4">
        <v>1</v>
      </c>
      <c r="B4">
        <f>Calculations!H2</f>
        <v>8760.4615384615372</v>
      </c>
    </row>
    <row r="5" spans="1:2" x14ac:dyDescent="0.2">
      <c r="A5">
        <v>2</v>
      </c>
      <c r="B5">
        <f>$B$4</f>
        <v>8760.4615384615372</v>
      </c>
    </row>
    <row r="6" spans="1:2" x14ac:dyDescent="0.2">
      <c r="A6">
        <v>3</v>
      </c>
      <c r="B6">
        <f t="shared" ref="B6:B11" si="0">$B$4</f>
        <v>8760.4615384615372</v>
      </c>
    </row>
    <row r="7" spans="1:2" x14ac:dyDescent="0.2">
      <c r="A7">
        <v>4</v>
      </c>
      <c r="B7">
        <f t="shared" si="0"/>
        <v>8760.4615384615372</v>
      </c>
    </row>
    <row r="8" spans="1:2" x14ac:dyDescent="0.2">
      <c r="A8">
        <v>5</v>
      </c>
      <c r="B8">
        <f t="shared" si="0"/>
        <v>8760.4615384615372</v>
      </c>
    </row>
    <row r="9" spans="1:2" x14ac:dyDescent="0.2">
      <c r="A9">
        <v>6</v>
      </c>
      <c r="B9">
        <f t="shared" si="0"/>
        <v>8760.4615384615372</v>
      </c>
    </row>
    <row r="10" spans="1:2" x14ac:dyDescent="0.2">
      <c r="A10">
        <v>7</v>
      </c>
      <c r="B10">
        <f t="shared" si="0"/>
        <v>8760.4615384615372</v>
      </c>
    </row>
    <row r="11" spans="1:2" x14ac:dyDescent="0.2">
      <c r="A11">
        <v>8</v>
      </c>
      <c r="B11">
        <f t="shared" si="0"/>
        <v>8760.4615384615372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6CAE3-56EC-0A4D-9664-FAD19D025C72}">
  <dimension ref="A1:B11"/>
  <sheetViews>
    <sheetView workbookViewId="0">
      <selection activeCell="B4" sqref="B4"/>
    </sheetView>
  </sheetViews>
  <sheetFormatPr baseColWidth="10" defaultColWidth="11" defaultRowHeight="16" x14ac:dyDescent="0.2"/>
  <sheetData>
    <row r="1" spans="1:2" x14ac:dyDescent="0.2">
      <c r="A1" t="s">
        <v>10</v>
      </c>
    </row>
    <row r="2" spans="1:2" x14ac:dyDescent="0.2">
      <c r="A2" t="s">
        <v>120</v>
      </c>
    </row>
    <row r="3" spans="1:2" x14ac:dyDescent="0.2">
      <c r="A3" t="s">
        <v>0</v>
      </c>
      <c r="B3" t="s">
        <v>9</v>
      </c>
    </row>
    <row r="4" spans="1:2" x14ac:dyDescent="0.2">
      <c r="A4">
        <v>1</v>
      </c>
      <c r="B4">
        <f>0.01*PipelineCapitalCost!B4</f>
        <v>87.604615384615371</v>
      </c>
    </row>
    <row r="5" spans="1:2" x14ac:dyDescent="0.2">
      <c r="A5">
        <v>2</v>
      </c>
      <c r="B5">
        <f>0.01*PipelineCapitalCost!B5</f>
        <v>87.604615384615371</v>
      </c>
    </row>
    <row r="6" spans="1:2" x14ac:dyDescent="0.2">
      <c r="A6">
        <v>3</v>
      </c>
      <c r="B6">
        <f>0.01*PipelineCapitalCost!B6</f>
        <v>87.604615384615371</v>
      </c>
    </row>
    <row r="7" spans="1:2" x14ac:dyDescent="0.2">
      <c r="A7">
        <v>4</v>
      </c>
      <c r="B7">
        <f>0.01*PipelineCapitalCost!B7</f>
        <v>87.604615384615371</v>
      </c>
    </row>
    <row r="8" spans="1:2" x14ac:dyDescent="0.2">
      <c r="A8">
        <v>5</v>
      </c>
      <c r="B8">
        <f>0.01*PipelineCapitalCost!B8</f>
        <v>87.604615384615371</v>
      </c>
    </row>
    <row r="9" spans="1:2" x14ac:dyDescent="0.2">
      <c r="A9">
        <v>6</v>
      </c>
      <c r="B9">
        <f>0.01*PipelineCapitalCost!B9</f>
        <v>87.604615384615371</v>
      </c>
    </row>
    <row r="10" spans="1:2" x14ac:dyDescent="0.2">
      <c r="A10">
        <v>7</v>
      </c>
      <c r="B10">
        <f>0.01*PipelineCapitalCost!B10</f>
        <v>87.604615384615371</v>
      </c>
    </row>
    <row r="11" spans="1:2" x14ac:dyDescent="0.2">
      <c r="A11">
        <v>8</v>
      </c>
      <c r="B11">
        <f>0.01*PipelineCapitalCost!B11</f>
        <v>87.604615384615371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BA31-C322-C645-9748-84408CAE14BB}">
  <dimension ref="A1:A37"/>
  <sheetViews>
    <sheetView workbookViewId="0">
      <selection activeCell="A38" sqref="A38:A40"/>
    </sheetView>
  </sheetViews>
  <sheetFormatPr baseColWidth="10" defaultColWidth="11" defaultRowHeight="16" x14ac:dyDescent="0.2"/>
  <sheetData>
    <row r="1" spans="1:1" x14ac:dyDescent="0.2">
      <c r="A1" t="s">
        <v>7</v>
      </c>
    </row>
    <row r="2" spans="1:1" x14ac:dyDescent="0.2">
      <c r="A2" t="s">
        <v>41</v>
      </c>
    </row>
    <row r="3" spans="1:1" x14ac:dyDescent="0.2">
      <c r="A3" t="s">
        <v>61</v>
      </c>
    </row>
    <row r="4" spans="1:1" x14ac:dyDescent="0.2">
      <c r="A4" t="s">
        <v>19</v>
      </c>
    </row>
    <row r="5" spans="1:1" x14ac:dyDescent="0.2">
      <c r="A5" t="s">
        <v>42</v>
      </c>
    </row>
    <row r="6" spans="1:1" x14ac:dyDescent="0.2">
      <c r="A6" t="s">
        <v>62</v>
      </c>
    </row>
    <row r="7" spans="1:1" x14ac:dyDescent="0.2">
      <c r="A7" t="s">
        <v>44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45</v>
      </c>
    </row>
    <row r="11" spans="1:1" x14ac:dyDescent="0.2">
      <c r="A11" t="s">
        <v>59</v>
      </c>
    </row>
    <row r="12" spans="1:1" x14ac:dyDescent="0.2">
      <c r="A12" t="s">
        <v>46</v>
      </c>
    </row>
    <row r="13" spans="1:1" x14ac:dyDescent="0.2">
      <c r="A13" t="s">
        <v>6</v>
      </c>
    </row>
    <row r="14" spans="1:1" x14ac:dyDescent="0.2">
      <c r="A14" t="s">
        <v>20</v>
      </c>
    </row>
    <row r="15" spans="1:1" x14ac:dyDescent="0.2">
      <c r="A15" t="s">
        <v>47</v>
      </c>
    </row>
    <row r="16" spans="1:1" x14ac:dyDescent="0.2">
      <c r="A16" t="s">
        <v>43</v>
      </c>
    </row>
    <row r="17" spans="1:1" x14ac:dyDescent="0.2">
      <c r="A17" t="s">
        <v>48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53</v>
      </c>
    </row>
    <row r="22" spans="1:1" x14ac:dyDescent="0.2">
      <c r="A22" t="s">
        <v>51</v>
      </c>
    </row>
    <row r="23" spans="1:1" x14ac:dyDescent="0.2">
      <c r="A23" t="s">
        <v>63</v>
      </c>
    </row>
    <row r="24" spans="1:1" x14ac:dyDescent="0.2">
      <c r="A24" t="s">
        <v>23</v>
      </c>
    </row>
    <row r="25" spans="1:1" x14ac:dyDescent="0.2">
      <c r="A25" t="s">
        <v>64</v>
      </c>
    </row>
    <row r="26" spans="1:1" x14ac:dyDescent="0.2">
      <c r="A26" t="s">
        <v>21</v>
      </c>
    </row>
    <row r="27" spans="1:1" x14ac:dyDescent="0.2">
      <c r="A27" t="s">
        <v>65</v>
      </c>
    </row>
    <row r="28" spans="1:1" x14ac:dyDescent="0.2">
      <c r="A28" t="s">
        <v>66</v>
      </c>
    </row>
    <row r="29" spans="1:1" x14ac:dyDescent="0.2">
      <c r="A29" t="s">
        <v>22</v>
      </c>
    </row>
    <row r="30" spans="1:1" x14ac:dyDescent="0.2">
      <c r="A30" t="s">
        <v>54</v>
      </c>
    </row>
    <row r="31" spans="1:1" x14ac:dyDescent="0.2">
      <c r="A31" t="s">
        <v>55</v>
      </c>
    </row>
    <row r="32" spans="1:1" x14ac:dyDescent="0.2">
      <c r="A32" t="s">
        <v>56</v>
      </c>
    </row>
    <row r="33" spans="1:1" x14ac:dyDescent="0.2">
      <c r="A33" t="s">
        <v>67</v>
      </c>
    </row>
    <row r="34" spans="1:1" x14ac:dyDescent="0.2">
      <c r="A34" t="s">
        <v>60</v>
      </c>
    </row>
    <row r="35" spans="1:1" x14ac:dyDescent="0.2">
      <c r="A35" t="s">
        <v>58</v>
      </c>
    </row>
    <row r="36" spans="1:1" x14ac:dyDescent="0.2">
      <c r="A36" t="s">
        <v>57</v>
      </c>
    </row>
    <row r="37" spans="1:1" x14ac:dyDescent="0.2">
      <c r="A37" t="s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C40E-43ED-AF40-9388-C6CA39591DCE}">
  <dimension ref="A1:A4"/>
  <sheetViews>
    <sheetView workbookViewId="0">
      <selection activeCell="A4" sqref="A4"/>
    </sheetView>
  </sheetViews>
  <sheetFormatPr baseColWidth="10" defaultColWidth="11" defaultRowHeight="16" x14ac:dyDescent="0.2"/>
  <cols>
    <col min="1" max="1" width="24" bestFit="1" customWidth="1"/>
  </cols>
  <sheetData>
    <row r="1" spans="1:1" x14ac:dyDescent="0.2">
      <c r="A1" t="s">
        <v>29</v>
      </c>
    </row>
    <row r="2" spans="1:1" x14ac:dyDescent="0.2">
      <c r="A2" t="s">
        <v>121</v>
      </c>
    </row>
    <row r="3" spans="1:1" x14ac:dyDescent="0.2">
      <c r="A3" t="s">
        <v>37</v>
      </c>
    </row>
    <row r="4" spans="1:1" x14ac:dyDescent="0.2">
      <c r="A4" s="3">
        <f>Calculations!G9</f>
        <v>8.5515976331360934E-4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EB487-968D-D642-BA77-0E22D1EA5825}">
  <dimension ref="A1:E11"/>
  <sheetViews>
    <sheetView workbookViewId="0">
      <selection activeCell="A3" sqref="A3"/>
    </sheetView>
  </sheetViews>
  <sheetFormatPr baseColWidth="10" defaultColWidth="11" defaultRowHeight="16" x14ac:dyDescent="0.2"/>
  <sheetData>
    <row r="1" spans="1:5" x14ac:dyDescent="0.2">
      <c r="A1" t="s">
        <v>32</v>
      </c>
    </row>
    <row r="2" spans="1:5" x14ac:dyDescent="0.2">
      <c r="A2" t="s">
        <v>125</v>
      </c>
    </row>
    <row r="3" spans="1:5" x14ac:dyDescent="0.2">
      <c r="A3" t="s">
        <v>0</v>
      </c>
      <c r="B3" t="s">
        <v>124</v>
      </c>
      <c r="E3" t="s">
        <v>123</v>
      </c>
    </row>
    <row r="4" spans="1:5" x14ac:dyDescent="0.2">
      <c r="A4">
        <v>1</v>
      </c>
      <c r="B4">
        <f>E4*10^3</f>
        <v>25500</v>
      </c>
      <c r="E4">
        <v>25.5</v>
      </c>
    </row>
    <row r="5" spans="1:5" x14ac:dyDescent="0.2">
      <c r="A5">
        <v>2</v>
      </c>
      <c r="B5">
        <f t="shared" ref="B5:B11" si="0">E5*10^3</f>
        <v>25500</v>
      </c>
      <c r="E5">
        <v>25.5</v>
      </c>
    </row>
    <row r="6" spans="1:5" x14ac:dyDescent="0.2">
      <c r="A6">
        <v>3</v>
      </c>
      <c r="B6">
        <f t="shared" si="0"/>
        <v>25500</v>
      </c>
      <c r="E6">
        <v>25.5</v>
      </c>
    </row>
    <row r="7" spans="1:5" x14ac:dyDescent="0.2">
      <c r="A7">
        <v>4</v>
      </c>
      <c r="B7">
        <f t="shared" si="0"/>
        <v>25500</v>
      </c>
      <c r="E7">
        <v>25.5</v>
      </c>
    </row>
    <row r="8" spans="1:5" x14ac:dyDescent="0.2">
      <c r="A8">
        <v>5</v>
      </c>
      <c r="B8">
        <f t="shared" si="0"/>
        <v>25500</v>
      </c>
      <c r="E8">
        <v>25.5</v>
      </c>
    </row>
    <row r="9" spans="1:5" x14ac:dyDescent="0.2">
      <c r="A9">
        <v>6</v>
      </c>
      <c r="B9">
        <f t="shared" si="0"/>
        <v>25500</v>
      </c>
      <c r="E9">
        <v>25.5</v>
      </c>
    </row>
    <row r="10" spans="1:5" x14ac:dyDescent="0.2">
      <c r="A10">
        <v>7</v>
      </c>
      <c r="B10">
        <f t="shared" si="0"/>
        <v>25500</v>
      </c>
      <c r="E10">
        <v>25.5</v>
      </c>
    </row>
    <row r="11" spans="1:5" x14ac:dyDescent="0.2">
      <c r="A11">
        <v>8</v>
      </c>
      <c r="B11">
        <f t="shared" si="0"/>
        <v>25500</v>
      </c>
      <c r="E11">
        <v>25.5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299D-4023-484B-8AA0-9E4F8AB017A1}">
  <dimension ref="A1:B11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t="s">
        <v>33</v>
      </c>
    </row>
    <row r="2" spans="1:2" x14ac:dyDescent="0.2">
      <c r="A2" t="s">
        <v>126</v>
      </c>
    </row>
    <row r="3" spans="1:2" x14ac:dyDescent="0.2">
      <c r="A3" t="s">
        <v>0</v>
      </c>
      <c r="B3" t="s">
        <v>38</v>
      </c>
    </row>
    <row r="4" spans="1:2" x14ac:dyDescent="0.2">
      <c r="A4">
        <v>1</v>
      </c>
      <c r="B4">
        <f>0.05*StorageCapitalCost!B4</f>
        <v>1275</v>
      </c>
    </row>
    <row r="5" spans="1:2" x14ac:dyDescent="0.2">
      <c r="A5">
        <v>2</v>
      </c>
      <c r="B5">
        <f>0.05*StorageCapitalCost!B5</f>
        <v>1275</v>
      </c>
    </row>
    <row r="6" spans="1:2" x14ac:dyDescent="0.2">
      <c r="A6">
        <v>3</v>
      </c>
      <c r="B6">
        <f>0.05*StorageCapitalCost!B6</f>
        <v>1275</v>
      </c>
    </row>
    <row r="7" spans="1:2" x14ac:dyDescent="0.2">
      <c r="A7">
        <v>4</v>
      </c>
      <c r="B7">
        <f>0.05*StorageCapitalCost!B7</f>
        <v>1275</v>
      </c>
    </row>
    <row r="8" spans="1:2" x14ac:dyDescent="0.2">
      <c r="A8">
        <v>5</v>
      </c>
      <c r="B8">
        <f>0.05*StorageCapitalCost!B8</f>
        <v>1275</v>
      </c>
    </row>
    <row r="9" spans="1:2" x14ac:dyDescent="0.2">
      <c r="A9">
        <v>6</v>
      </c>
      <c r="B9">
        <f>0.05*StorageCapitalCost!B9</f>
        <v>1275</v>
      </c>
    </row>
    <row r="10" spans="1:2" x14ac:dyDescent="0.2">
      <c r="A10">
        <v>7</v>
      </c>
      <c r="B10">
        <f>0.05*StorageCapitalCost!B10</f>
        <v>1275</v>
      </c>
    </row>
    <row r="11" spans="1:2" x14ac:dyDescent="0.2">
      <c r="A11">
        <v>8</v>
      </c>
      <c r="B11">
        <f>0.05*StorageCapitalCost!B11</f>
        <v>1275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635A-B35F-0942-B6DC-1D862A35DA91}">
  <dimension ref="A1:K12"/>
  <sheetViews>
    <sheetView workbookViewId="0">
      <selection activeCell="A3" sqref="A3"/>
    </sheetView>
  </sheetViews>
  <sheetFormatPr baseColWidth="10" defaultColWidth="11" defaultRowHeight="16" x14ac:dyDescent="0.2"/>
  <sheetData>
    <row r="1" spans="1:11" x14ac:dyDescent="0.2">
      <c r="A1" t="s">
        <v>31</v>
      </c>
    </row>
    <row r="2" spans="1:11" x14ac:dyDescent="0.2">
      <c r="A2" t="s">
        <v>128</v>
      </c>
    </row>
    <row r="3" spans="1:11" x14ac:dyDescent="0.2">
      <c r="A3" t="s">
        <v>3</v>
      </c>
      <c r="B3" t="s">
        <v>127</v>
      </c>
      <c r="C3" t="s">
        <v>30</v>
      </c>
      <c r="K3" t="s">
        <v>24</v>
      </c>
    </row>
    <row r="4" spans="1:11" x14ac:dyDescent="0.2">
      <c r="A4" t="s">
        <v>4</v>
      </c>
      <c r="B4">
        <f>C4*$K$4/10^3</f>
        <v>1186186.1861861863</v>
      </c>
      <c r="C4">
        <v>39.5</v>
      </c>
      <c r="K4">
        <f>10^9/Calculations!$A$2</f>
        <v>30030030.030030031</v>
      </c>
    </row>
    <row r="5" spans="1:11" x14ac:dyDescent="0.2">
      <c r="A5" t="s">
        <v>5</v>
      </c>
      <c r="B5">
        <f t="shared" ref="B5:B12" si="0">C5*$K$4/10^3</f>
        <v>39039.039039039038</v>
      </c>
      <c r="C5">
        <v>1.3</v>
      </c>
    </row>
    <row r="6" spans="1:11" x14ac:dyDescent="0.2">
      <c r="A6" t="s">
        <v>19</v>
      </c>
      <c r="B6">
        <f t="shared" si="0"/>
        <v>0</v>
      </c>
      <c r="C6">
        <v>0</v>
      </c>
    </row>
    <row r="7" spans="1:11" x14ac:dyDescent="0.2">
      <c r="A7" t="s">
        <v>20</v>
      </c>
      <c r="B7">
        <f t="shared" si="0"/>
        <v>111111.11111111112</v>
      </c>
      <c r="C7">
        <v>3.7</v>
      </c>
    </row>
    <row r="8" spans="1:11" x14ac:dyDescent="0.2">
      <c r="A8" t="s">
        <v>21</v>
      </c>
      <c r="B8">
        <f t="shared" si="0"/>
        <v>0</v>
      </c>
      <c r="C8">
        <v>0</v>
      </c>
    </row>
    <row r="9" spans="1:11" x14ac:dyDescent="0.2">
      <c r="A9" t="s">
        <v>22</v>
      </c>
      <c r="B9">
        <f t="shared" si="0"/>
        <v>0</v>
      </c>
      <c r="C9">
        <v>0</v>
      </c>
    </row>
    <row r="10" spans="1:11" x14ac:dyDescent="0.2">
      <c r="A10" t="s">
        <v>23</v>
      </c>
      <c r="B10">
        <f t="shared" si="0"/>
        <v>27027.02702702703</v>
      </c>
      <c r="C10">
        <v>0.9</v>
      </c>
    </row>
    <row r="11" spans="1:11" x14ac:dyDescent="0.2">
      <c r="A11" t="s">
        <v>8</v>
      </c>
      <c r="B11">
        <f t="shared" si="0"/>
        <v>0</v>
      </c>
      <c r="C11">
        <v>0</v>
      </c>
    </row>
    <row r="12" spans="1:11" x14ac:dyDescent="0.2">
      <c r="A12" t="s">
        <v>6</v>
      </c>
      <c r="B12">
        <f t="shared" si="0"/>
        <v>75075.075075075074</v>
      </c>
      <c r="C12">
        <v>2.5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BB76-1F70-3D4B-B789-4C7250BCB72C}">
  <dimension ref="A1:H11"/>
  <sheetViews>
    <sheetView workbookViewId="0">
      <selection activeCell="G9" sqref="G9:G11"/>
    </sheetView>
  </sheetViews>
  <sheetFormatPr baseColWidth="10" defaultColWidth="11" defaultRowHeight="16" x14ac:dyDescent="0.2"/>
  <cols>
    <col min="6" max="6" width="11.1640625" bestFit="1" customWidth="1"/>
  </cols>
  <sheetData>
    <row r="1" spans="1:8" x14ac:dyDescent="0.2">
      <c r="A1" t="s">
        <v>12</v>
      </c>
      <c r="C1" t="s">
        <v>25</v>
      </c>
      <c r="D1" t="s">
        <v>13</v>
      </c>
      <c r="E1" t="s">
        <v>14</v>
      </c>
      <c r="F1" t="s">
        <v>15</v>
      </c>
      <c r="G1" t="s">
        <v>18</v>
      </c>
      <c r="H1" t="s">
        <v>118</v>
      </c>
    </row>
    <row r="2" spans="1:8" x14ac:dyDescent="0.2">
      <c r="A2">
        <v>33.299999999999997</v>
      </c>
      <c r="B2" t="s">
        <v>17</v>
      </c>
      <c r="C2">
        <v>48</v>
      </c>
      <c r="D2">
        <v>13</v>
      </c>
      <c r="E2">
        <v>2.8</v>
      </c>
      <c r="F2">
        <v>0.62</v>
      </c>
      <c r="G2">
        <f>(E2+F2)*10^6/(D2*1/($A$2/10^6))</f>
        <v>8.7604615384615379</v>
      </c>
      <c r="H2">
        <f>G2*10^3</f>
        <v>8760.4615384615372</v>
      </c>
    </row>
    <row r="3" spans="1:8" x14ac:dyDescent="0.2">
      <c r="C3">
        <v>36</v>
      </c>
      <c r="D3">
        <v>4.7</v>
      </c>
      <c r="E3">
        <v>2.2000000000000002</v>
      </c>
      <c r="F3">
        <v>0.32</v>
      </c>
      <c r="G3">
        <f t="shared" ref="G3:G4" si="0">(E3+F3)*10^6/(D3*1/($A$2/10^6))</f>
        <v>17.854468085106383</v>
      </c>
      <c r="H3">
        <f t="shared" ref="H3:H4" si="1">G3*10^3</f>
        <v>17854.468085106382</v>
      </c>
    </row>
    <row r="4" spans="1:8" x14ac:dyDescent="0.2">
      <c r="C4">
        <v>20</v>
      </c>
      <c r="D4">
        <v>1.2</v>
      </c>
      <c r="E4">
        <v>1.5</v>
      </c>
      <c r="F4">
        <v>0.09</v>
      </c>
      <c r="G4">
        <f t="shared" si="0"/>
        <v>44.122500000000002</v>
      </c>
      <c r="H4">
        <f t="shared" si="1"/>
        <v>44122.5</v>
      </c>
    </row>
    <row r="8" spans="1:8" x14ac:dyDescent="0.2">
      <c r="C8" t="s">
        <v>25</v>
      </c>
      <c r="D8" t="s">
        <v>27</v>
      </c>
      <c r="E8" t="s">
        <v>26</v>
      </c>
      <c r="F8" t="s">
        <v>28</v>
      </c>
      <c r="G8" t="s">
        <v>122</v>
      </c>
    </row>
    <row r="9" spans="1:8" x14ac:dyDescent="0.2">
      <c r="C9">
        <v>48</v>
      </c>
      <c r="D9">
        <v>16.899999999999999</v>
      </c>
      <c r="E9">
        <f>434/1000</f>
        <v>0.434</v>
      </c>
      <c r="F9">
        <f>E9/(D9*10^6/$A$2)</f>
        <v>8.5515976331360932E-7</v>
      </c>
      <c r="G9">
        <f>F9*10^3</f>
        <v>8.5515976331360934E-4</v>
      </c>
    </row>
    <row r="10" spans="1:8" x14ac:dyDescent="0.2">
      <c r="C10">
        <v>36</v>
      </c>
      <c r="D10">
        <v>4.7</v>
      </c>
      <c r="E10">
        <f>93/1000</f>
        <v>9.2999999999999999E-2</v>
      </c>
      <c r="F10">
        <f t="shared" ref="F10:F11" si="2">E10/(D10*10^6/$A$2)</f>
        <v>6.5891489361702123E-7</v>
      </c>
      <c r="G10">
        <f t="shared" ref="G10:G11" si="3">F10*10^3</f>
        <v>6.5891489361702123E-4</v>
      </c>
    </row>
    <row r="11" spans="1:8" x14ac:dyDescent="0.2">
      <c r="C11">
        <v>20</v>
      </c>
      <c r="D11">
        <v>1.2</v>
      </c>
      <c r="E11">
        <f>26/1000</f>
        <v>2.5999999999999999E-2</v>
      </c>
      <c r="F11">
        <f t="shared" si="2"/>
        <v>7.215E-7</v>
      </c>
      <c r="G11">
        <f t="shared" si="3"/>
        <v>7.2150000000000003E-4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4657-FD93-C84A-ABD6-267EDA42A64A}">
  <dimension ref="A1:A36"/>
  <sheetViews>
    <sheetView workbookViewId="0">
      <selection activeCell="A37" sqref="A37"/>
    </sheetView>
  </sheetViews>
  <sheetFormatPr baseColWidth="10" defaultColWidth="11" defaultRowHeight="16" x14ac:dyDescent="0.2"/>
  <sheetData>
    <row r="1" spans="1:1" x14ac:dyDescent="0.2">
      <c r="A1" t="s">
        <v>96</v>
      </c>
    </row>
    <row r="2" spans="1:1" x14ac:dyDescent="0.2">
      <c r="A2" t="s">
        <v>41</v>
      </c>
    </row>
    <row r="3" spans="1:1" x14ac:dyDescent="0.2">
      <c r="A3" t="s">
        <v>61</v>
      </c>
    </row>
    <row r="4" spans="1:1" x14ac:dyDescent="0.2">
      <c r="A4" t="s">
        <v>19</v>
      </c>
    </row>
    <row r="5" spans="1:1" x14ac:dyDescent="0.2">
      <c r="A5" t="s">
        <v>42</v>
      </c>
    </row>
    <row r="6" spans="1:1" x14ac:dyDescent="0.2">
      <c r="A6" t="s">
        <v>62</v>
      </c>
    </row>
    <row r="7" spans="1:1" x14ac:dyDescent="0.2">
      <c r="A7" t="s">
        <v>44</v>
      </c>
    </row>
    <row r="8" spans="1:1" x14ac:dyDescent="0.2">
      <c r="A8" t="s">
        <v>4</v>
      </c>
    </row>
    <row r="9" spans="1:1" x14ac:dyDescent="0.2">
      <c r="A9" t="s">
        <v>5</v>
      </c>
    </row>
    <row r="10" spans="1:1" x14ac:dyDescent="0.2">
      <c r="A10" t="s">
        <v>45</v>
      </c>
    </row>
    <row r="11" spans="1:1" x14ac:dyDescent="0.2">
      <c r="A11" t="s">
        <v>59</v>
      </c>
    </row>
    <row r="12" spans="1:1" x14ac:dyDescent="0.2">
      <c r="A12" t="s">
        <v>46</v>
      </c>
    </row>
    <row r="13" spans="1:1" x14ac:dyDescent="0.2">
      <c r="A13" t="s">
        <v>6</v>
      </c>
    </row>
    <row r="14" spans="1:1" x14ac:dyDescent="0.2">
      <c r="A14" t="s">
        <v>20</v>
      </c>
    </row>
    <row r="15" spans="1:1" x14ac:dyDescent="0.2">
      <c r="A15" t="s">
        <v>47</v>
      </c>
    </row>
    <row r="16" spans="1:1" x14ac:dyDescent="0.2">
      <c r="A16" t="s">
        <v>43</v>
      </c>
    </row>
    <row r="17" spans="1:1" x14ac:dyDescent="0.2">
      <c r="A17" t="s">
        <v>48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53</v>
      </c>
    </row>
    <row r="22" spans="1:1" x14ac:dyDescent="0.2">
      <c r="A22" t="s">
        <v>51</v>
      </c>
    </row>
    <row r="23" spans="1:1" x14ac:dyDescent="0.2">
      <c r="A23" t="s">
        <v>63</v>
      </c>
    </row>
    <row r="24" spans="1:1" x14ac:dyDescent="0.2">
      <c r="A24" t="s">
        <v>23</v>
      </c>
    </row>
    <row r="25" spans="1:1" x14ac:dyDescent="0.2">
      <c r="A25" t="s">
        <v>64</v>
      </c>
    </row>
    <row r="26" spans="1:1" x14ac:dyDescent="0.2">
      <c r="A26" t="s">
        <v>21</v>
      </c>
    </row>
    <row r="27" spans="1:1" x14ac:dyDescent="0.2">
      <c r="A27" t="s">
        <v>65</v>
      </c>
    </row>
    <row r="28" spans="1:1" x14ac:dyDescent="0.2">
      <c r="A28" t="s">
        <v>66</v>
      </c>
    </row>
    <row r="29" spans="1:1" x14ac:dyDescent="0.2">
      <c r="A29" t="s">
        <v>22</v>
      </c>
    </row>
    <row r="30" spans="1:1" x14ac:dyDescent="0.2">
      <c r="A30" t="s">
        <v>54</v>
      </c>
    </row>
    <row r="31" spans="1:1" x14ac:dyDescent="0.2">
      <c r="A31" t="s">
        <v>55</v>
      </c>
    </row>
    <row r="32" spans="1:1" x14ac:dyDescent="0.2">
      <c r="A32" t="s">
        <v>56</v>
      </c>
    </row>
    <row r="33" spans="1:1" x14ac:dyDescent="0.2">
      <c r="A33" t="s">
        <v>67</v>
      </c>
    </row>
    <row r="34" spans="1:1" x14ac:dyDescent="0.2">
      <c r="A34" t="s">
        <v>60</v>
      </c>
    </row>
    <row r="35" spans="1:1" x14ac:dyDescent="0.2">
      <c r="A35" t="s">
        <v>58</v>
      </c>
    </row>
    <row r="36" spans="1:1" x14ac:dyDescent="0.2">
      <c r="A3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01D04-97E3-8343-9D37-48C8639F9B4D}">
  <dimension ref="A1:A4"/>
  <sheetViews>
    <sheetView zoomScaleNormal="100" workbookViewId="0">
      <selection activeCell="A4" sqref="A4:XFD4"/>
    </sheetView>
  </sheetViews>
  <sheetFormatPr baseColWidth="10" defaultColWidth="11" defaultRowHeight="16" x14ac:dyDescent="0.2"/>
  <sheetData>
    <row r="1" spans="1:1" x14ac:dyDescent="0.2">
      <c r="A1" t="s">
        <v>97</v>
      </c>
    </row>
    <row r="2" spans="1:1" x14ac:dyDescent="0.2">
      <c r="A2" t="s">
        <v>69</v>
      </c>
    </row>
    <row r="3" spans="1:1" x14ac:dyDescent="0.2">
      <c r="A3" t="s">
        <v>72</v>
      </c>
    </row>
    <row r="4" spans="1:1" x14ac:dyDescent="0.2">
      <c r="A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D3DF-5A2A-F84E-AC03-E8FC2BCB9DC1}">
  <dimension ref="A1:F27"/>
  <sheetViews>
    <sheetView workbookViewId="0">
      <selection activeCell="A20" sqref="A20:XFD27"/>
    </sheetView>
  </sheetViews>
  <sheetFormatPr baseColWidth="10" defaultColWidth="11" defaultRowHeight="16" x14ac:dyDescent="0.2"/>
  <sheetData>
    <row r="1" spans="1:6" x14ac:dyDescent="0.2">
      <c r="A1" s="1" t="s">
        <v>75</v>
      </c>
      <c r="B1" s="1"/>
      <c r="C1" s="1"/>
    </row>
    <row r="2" spans="1:6" x14ac:dyDescent="0.2">
      <c r="A2" s="1" t="s">
        <v>78</v>
      </c>
      <c r="B2" s="1"/>
      <c r="C2" s="1"/>
    </row>
    <row r="3" spans="1:6" x14ac:dyDescent="0.2">
      <c r="A3" s="1" t="s">
        <v>71</v>
      </c>
      <c r="B3" s="1" t="s">
        <v>0</v>
      </c>
      <c r="C3" s="1" t="s">
        <v>109</v>
      </c>
      <c r="D3" s="1" t="s">
        <v>98</v>
      </c>
      <c r="F3" s="1"/>
    </row>
    <row r="4" spans="1:6" x14ac:dyDescent="0.2">
      <c r="A4" s="1" t="s">
        <v>69</v>
      </c>
      <c r="B4" s="1">
        <v>1</v>
      </c>
      <c r="C4" s="1">
        <f>10^3*D4</f>
        <v>805000</v>
      </c>
      <c r="D4" s="1">
        <v>805</v>
      </c>
    </row>
    <row r="5" spans="1:6" x14ac:dyDescent="0.2">
      <c r="A5" s="1" t="s">
        <v>69</v>
      </c>
      <c r="B5" s="1">
        <v>2</v>
      </c>
      <c r="C5" s="1">
        <f t="shared" ref="C5:C27" si="0">10^3*D5</f>
        <v>805000</v>
      </c>
      <c r="D5" s="1">
        <v>805</v>
      </c>
    </row>
    <row r="6" spans="1:6" x14ac:dyDescent="0.2">
      <c r="A6" s="1" t="s">
        <v>69</v>
      </c>
      <c r="B6" s="1">
        <v>3</v>
      </c>
      <c r="C6" s="1">
        <f t="shared" si="0"/>
        <v>805000</v>
      </c>
      <c r="D6" s="1">
        <v>805</v>
      </c>
    </row>
    <row r="7" spans="1:6" x14ac:dyDescent="0.2">
      <c r="A7" s="1" t="s">
        <v>69</v>
      </c>
      <c r="B7" s="1">
        <v>4</v>
      </c>
      <c r="C7" s="1">
        <f t="shared" si="0"/>
        <v>805000</v>
      </c>
      <c r="D7" s="1">
        <v>805</v>
      </c>
    </row>
    <row r="8" spans="1:6" x14ac:dyDescent="0.2">
      <c r="A8" s="1" t="s">
        <v>69</v>
      </c>
      <c r="B8" s="1">
        <v>5</v>
      </c>
      <c r="C8" s="1">
        <f t="shared" si="0"/>
        <v>805000</v>
      </c>
      <c r="D8" s="1">
        <v>805</v>
      </c>
    </row>
    <row r="9" spans="1:6" x14ac:dyDescent="0.2">
      <c r="A9" s="1" t="s">
        <v>69</v>
      </c>
      <c r="B9" s="1">
        <v>6</v>
      </c>
      <c r="C9" s="1">
        <f t="shared" si="0"/>
        <v>805000</v>
      </c>
      <c r="D9" s="1">
        <v>805</v>
      </c>
    </row>
    <row r="10" spans="1:6" x14ac:dyDescent="0.2">
      <c r="A10" s="1" t="s">
        <v>69</v>
      </c>
      <c r="B10" s="1">
        <v>7</v>
      </c>
      <c r="C10" s="1">
        <f t="shared" si="0"/>
        <v>805000</v>
      </c>
      <c r="D10" s="1">
        <v>805</v>
      </c>
    </row>
    <row r="11" spans="1:6" x14ac:dyDescent="0.2">
      <c r="A11" s="1" t="s">
        <v>69</v>
      </c>
      <c r="B11" s="1">
        <v>8</v>
      </c>
      <c r="C11" s="1">
        <f t="shared" si="0"/>
        <v>805000</v>
      </c>
      <c r="D11" s="1">
        <v>805</v>
      </c>
    </row>
    <row r="12" spans="1:6" x14ac:dyDescent="0.2">
      <c r="A12" s="1" t="s">
        <v>72</v>
      </c>
      <c r="B12" s="1">
        <v>1</v>
      </c>
      <c r="C12" s="1">
        <f t="shared" si="0"/>
        <v>1487000</v>
      </c>
      <c r="D12" s="1">
        <v>1487</v>
      </c>
    </row>
    <row r="13" spans="1:6" x14ac:dyDescent="0.2">
      <c r="A13" s="1" t="s">
        <v>72</v>
      </c>
      <c r="B13" s="1">
        <v>2</v>
      </c>
      <c r="C13" s="1">
        <f t="shared" si="0"/>
        <v>1487000</v>
      </c>
      <c r="D13" s="1">
        <v>1487</v>
      </c>
    </row>
    <row r="14" spans="1:6" x14ac:dyDescent="0.2">
      <c r="A14" s="1" t="s">
        <v>72</v>
      </c>
      <c r="B14" s="1">
        <v>3</v>
      </c>
      <c r="C14" s="1">
        <f t="shared" si="0"/>
        <v>1204000</v>
      </c>
      <c r="D14" s="1">
        <v>1204</v>
      </c>
    </row>
    <row r="15" spans="1:6" x14ac:dyDescent="0.2">
      <c r="A15" s="1" t="s">
        <v>72</v>
      </c>
      <c r="B15" s="1">
        <v>4</v>
      </c>
      <c r="C15" s="1">
        <f t="shared" si="0"/>
        <v>1204000</v>
      </c>
      <c r="D15" s="1">
        <v>1204</v>
      </c>
    </row>
    <row r="16" spans="1:6" x14ac:dyDescent="0.2">
      <c r="A16" s="1" t="s">
        <v>72</v>
      </c>
      <c r="B16" s="1">
        <v>5</v>
      </c>
      <c r="C16" s="1">
        <f t="shared" si="0"/>
        <v>1204000</v>
      </c>
      <c r="D16" s="1">
        <v>1204</v>
      </c>
    </row>
    <row r="17" spans="1:4" x14ac:dyDescent="0.2">
      <c r="A17" s="1" t="s">
        <v>72</v>
      </c>
      <c r="B17" s="1">
        <v>6</v>
      </c>
      <c r="C17" s="1">
        <f t="shared" si="0"/>
        <v>1204000</v>
      </c>
      <c r="D17" s="1">
        <v>1204</v>
      </c>
    </row>
    <row r="18" spans="1:4" x14ac:dyDescent="0.2">
      <c r="A18" s="1" t="s">
        <v>72</v>
      </c>
      <c r="B18" s="1">
        <v>7</v>
      </c>
      <c r="C18" s="1">
        <f t="shared" si="0"/>
        <v>1133000</v>
      </c>
      <c r="D18" s="1">
        <v>1133</v>
      </c>
    </row>
    <row r="19" spans="1:4" x14ac:dyDescent="0.2">
      <c r="A19" s="1" t="s">
        <v>72</v>
      </c>
      <c r="B19" s="1">
        <v>8</v>
      </c>
      <c r="C19" s="1">
        <f t="shared" si="0"/>
        <v>1133000</v>
      </c>
      <c r="D19" s="1">
        <v>1133</v>
      </c>
    </row>
    <row r="20" spans="1:4" x14ac:dyDescent="0.2">
      <c r="A20" t="s">
        <v>74</v>
      </c>
      <c r="B20" s="1">
        <v>1</v>
      </c>
      <c r="C20" s="1">
        <f t="shared" si="0"/>
        <v>830000</v>
      </c>
      <c r="D20" s="1">
        <v>830</v>
      </c>
    </row>
    <row r="21" spans="1:4" x14ac:dyDescent="0.2">
      <c r="A21" t="s">
        <v>74</v>
      </c>
      <c r="B21" s="1">
        <v>2</v>
      </c>
      <c r="C21" s="1">
        <f t="shared" si="0"/>
        <v>830000</v>
      </c>
      <c r="D21" s="1">
        <v>830</v>
      </c>
    </row>
    <row r="22" spans="1:4" x14ac:dyDescent="0.2">
      <c r="A22" t="s">
        <v>74</v>
      </c>
      <c r="B22" s="1">
        <v>3</v>
      </c>
      <c r="C22" s="1">
        <f t="shared" si="0"/>
        <v>750000</v>
      </c>
      <c r="D22" s="1">
        <v>750</v>
      </c>
    </row>
    <row r="23" spans="1:4" x14ac:dyDescent="0.2">
      <c r="A23" t="s">
        <v>74</v>
      </c>
      <c r="B23" s="1">
        <v>4</v>
      </c>
      <c r="C23" s="1">
        <f t="shared" si="0"/>
        <v>750000</v>
      </c>
      <c r="D23" s="1">
        <v>750</v>
      </c>
    </row>
    <row r="24" spans="1:4" x14ac:dyDescent="0.2">
      <c r="A24" t="s">
        <v>74</v>
      </c>
      <c r="B24" s="1">
        <v>5</v>
      </c>
      <c r="C24" s="1">
        <f t="shared" si="0"/>
        <v>750000</v>
      </c>
      <c r="D24" s="1">
        <v>750</v>
      </c>
    </row>
    <row r="25" spans="1:4" x14ac:dyDescent="0.2">
      <c r="A25" t="s">
        <v>74</v>
      </c>
      <c r="B25" s="1">
        <v>6</v>
      </c>
      <c r="C25" s="1">
        <f t="shared" si="0"/>
        <v>750000</v>
      </c>
      <c r="D25" s="1">
        <v>750</v>
      </c>
    </row>
    <row r="26" spans="1:4" x14ac:dyDescent="0.2">
      <c r="A26" t="s">
        <v>74</v>
      </c>
      <c r="B26" s="1">
        <v>7</v>
      </c>
      <c r="C26" s="1">
        <f t="shared" si="0"/>
        <v>750000</v>
      </c>
      <c r="D26" s="1">
        <v>750</v>
      </c>
    </row>
    <row r="27" spans="1:4" x14ac:dyDescent="0.2">
      <c r="A27" t="s">
        <v>74</v>
      </c>
      <c r="B27" s="1">
        <v>8</v>
      </c>
      <c r="C27" s="1">
        <f t="shared" si="0"/>
        <v>750000</v>
      </c>
      <c r="D27" s="1">
        <v>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AAAA-095A-4044-9493-0490E7C48C4F}">
  <dimension ref="A1:E27"/>
  <sheetViews>
    <sheetView workbookViewId="0">
      <selection activeCell="A20" sqref="A20:XFD27"/>
    </sheetView>
  </sheetViews>
  <sheetFormatPr baseColWidth="10" defaultColWidth="11" defaultRowHeight="16" x14ac:dyDescent="0.2"/>
  <sheetData>
    <row r="1" spans="1:5" x14ac:dyDescent="0.2">
      <c r="A1" s="1" t="s">
        <v>75</v>
      </c>
      <c r="B1" s="1"/>
      <c r="C1" s="1"/>
    </row>
    <row r="2" spans="1:5" x14ac:dyDescent="0.2">
      <c r="A2" s="1" t="s">
        <v>77</v>
      </c>
      <c r="B2" s="1"/>
      <c r="C2" s="1"/>
    </row>
    <row r="3" spans="1:5" x14ac:dyDescent="0.2">
      <c r="A3" s="1" t="s">
        <v>71</v>
      </c>
      <c r="B3" s="1" t="s">
        <v>0</v>
      </c>
      <c r="C3" s="1" t="s">
        <v>110</v>
      </c>
      <c r="D3" s="1" t="s">
        <v>99</v>
      </c>
      <c r="E3" s="1"/>
    </row>
    <row r="4" spans="1:5" x14ac:dyDescent="0.2">
      <c r="A4" s="1" t="s">
        <v>69</v>
      </c>
      <c r="B4" s="1">
        <v>1</v>
      </c>
      <c r="C4" s="1">
        <f>10^3*D4</f>
        <v>37800</v>
      </c>
      <c r="D4" s="1">
        <v>37.799999999999997</v>
      </c>
      <c r="E4" s="4"/>
    </row>
    <row r="5" spans="1:5" x14ac:dyDescent="0.2">
      <c r="A5" s="1" t="s">
        <v>69</v>
      </c>
      <c r="B5" s="1">
        <v>2</v>
      </c>
      <c r="C5" s="1">
        <f t="shared" ref="C5:C27" si="0">10^3*D5</f>
        <v>37800</v>
      </c>
      <c r="D5" s="1">
        <v>37.799999999999997</v>
      </c>
      <c r="E5" s="4"/>
    </row>
    <row r="6" spans="1:5" x14ac:dyDescent="0.2">
      <c r="A6" s="1" t="s">
        <v>69</v>
      </c>
      <c r="B6" s="1">
        <v>3</v>
      </c>
      <c r="C6" s="1">
        <f t="shared" si="0"/>
        <v>37800</v>
      </c>
      <c r="D6" s="1">
        <v>37.799999999999997</v>
      </c>
      <c r="E6" s="4"/>
    </row>
    <row r="7" spans="1:5" x14ac:dyDescent="0.2">
      <c r="A7" s="1" t="s">
        <v>69</v>
      </c>
      <c r="B7" s="1">
        <v>4</v>
      </c>
      <c r="C7" s="1">
        <f t="shared" si="0"/>
        <v>37800</v>
      </c>
      <c r="D7" s="1">
        <v>37.799999999999997</v>
      </c>
      <c r="E7" s="4"/>
    </row>
    <row r="8" spans="1:5" x14ac:dyDescent="0.2">
      <c r="A8" s="1" t="s">
        <v>69</v>
      </c>
      <c r="B8" s="1">
        <v>5</v>
      </c>
      <c r="C8" s="1">
        <f t="shared" si="0"/>
        <v>37800</v>
      </c>
      <c r="D8" s="1">
        <v>37.799999999999997</v>
      </c>
      <c r="E8" s="4"/>
    </row>
    <row r="9" spans="1:5" x14ac:dyDescent="0.2">
      <c r="A9" s="1" t="s">
        <v>69</v>
      </c>
      <c r="B9" s="1">
        <v>6</v>
      </c>
      <c r="C9" s="1">
        <f t="shared" si="0"/>
        <v>37800</v>
      </c>
      <c r="D9" s="1">
        <v>37.799999999999997</v>
      </c>
      <c r="E9" s="4"/>
    </row>
    <row r="10" spans="1:5" x14ac:dyDescent="0.2">
      <c r="A10" s="1" t="s">
        <v>69</v>
      </c>
      <c r="B10" s="1">
        <v>7</v>
      </c>
      <c r="C10" s="1">
        <f t="shared" si="0"/>
        <v>37800</v>
      </c>
      <c r="D10" s="1">
        <v>37.799999999999997</v>
      </c>
      <c r="E10" s="4"/>
    </row>
    <row r="11" spans="1:5" x14ac:dyDescent="0.2">
      <c r="A11" s="1" t="s">
        <v>69</v>
      </c>
      <c r="B11" s="1">
        <v>8</v>
      </c>
      <c r="C11" s="1">
        <f t="shared" si="0"/>
        <v>37800</v>
      </c>
      <c r="D11" s="1">
        <v>37.799999999999997</v>
      </c>
      <c r="E11" s="4"/>
    </row>
    <row r="12" spans="1:5" x14ac:dyDescent="0.2">
      <c r="A12" s="1" t="s">
        <v>72</v>
      </c>
      <c r="B12" s="1">
        <v>1</v>
      </c>
      <c r="C12" s="1">
        <f t="shared" si="0"/>
        <v>44600</v>
      </c>
      <c r="D12" s="1">
        <v>44.6</v>
      </c>
      <c r="E12" s="4"/>
    </row>
    <row r="13" spans="1:5" x14ac:dyDescent="0.2">
      <c r="A13" s="1" t="s">
        <v>72</v>
      </c>
      <c r="B13" s="1">
        <v>2</v>
      </c>
      <c r="C13" s="1">
        <f t="shared" si="0"/>
        <v>44600</v>
      </c>
      <c r="D13" s="1">
        <v>44.6</v>
      </c>
      <c r="E13" s="4"/>
    </row>
    <row r="14" spans="1:5" x14ac:dyDescent="0.2">
      <c r="A14" s="1" t="s">
        <v>72</v>
      </c>
      <c r="B14" s="1">
        <v>3</v>
      </c>
      <c r="C14" s="1">
        <f t="shared" si="0"/>
        <v>36100</v>
      </c>
      <c r="D14" s="1">
        <v>36.1</v>
      </c>
      <c r="E14" s="4"/>
    </row>
    <row r="15" spans="1:5" x14ac:dyDescent="0.2">
      <c r="A15" s="1" t="s">
        <v>72</v>
      </c>
      <c r="B15" s="1">
        <v>4</v>
      </c>
      <c r="C15" s="1">
        <f t="shared" si="0"/>
        <v>36100</v>
      </c>
      <c r="D15" s="1">
        <v>36.1</v>
      </c>
      <c r="E15" s="4"/>
    </row>
    <row r="16" spans="1:5" x14ac:dyDescent="0.2">
      <c r="A16" s="1" t="s">
        <v>72</v>
      </c>
      <c r="B16" s="1">
        <v>5</v>
      </c>
      <c r="C16" s="1">
        <f t="shared" si="0"/>
        <v>36100</v>
      </c>
      <c r="D16" s="1">
        <v>36.1</v>
      </c>
      <c r="E16" s="4"/>
    </row>
    <row r="17" spans="1:5" x14ac:dyDescent="0.2">
      <c r="A17" s="1" t="s">
        <v>72</v>
      </c>
      <c r="B17" s="1">
        <v>6</v>
      </c>
      <c r="C17" s="1">
        <f t="shared" si="0"/>
        <v>36100</v>
      </c>
      <c r="D17" s="1">
        <v>36.1</v>
      </c>
      <c r="E17" s="4"/>
    </row>
    <row r="18" spans="1:5" x14ac:dyDescent="0.2">
      <c r="A18" s="1" t="s">
        <v>72</v>
      </c>
      <c r="B18" s="1">
        <v>7</v>
      </c>
      <c r="C18" s="1">
        <f t="shared" si="0"/>
        <v>34000</v>
      </c>
      <c r="D18" s="1">
        <v>34</v>
      </c>
      <c r="E18" s="4"/>
    </row>
    <row r="19" spans="1:5" x14ac:dyDescent="0.2">
      <c r="A19" s="1" t="s">
        <v>72</v>
      </c>
      <c r="B19" s="1">
        <v>8</v>
      </c>
      <c r="C19" s="1">
        <f t="shared" si="0"/>
        <v>34000</v>
      </c>
      <c r="D19" s="1">
        <v>34</v>
      </c>
      <c r="E19" s="4"/>
    </row>
    <row r="20" spans="1:5" x14ac:dyDescent="0.2">
      <c r="A20" t="s">
        <v>74</v>
      </c>
      <c r="B20" s="1">
        <v>1</v>
      </c>
      <c r="C20" s="1">
        <f t="shared" si="0"/>
        <v>24900</v>
      </c>
      <c r="D20" s="1">
        <v>24.9</v>
      </c>
    </row>
    <row r="21" spans="1:5" x14ac:dyDescent="0.2">
      <c r="A21" t="s">
        <v>74</v>
      </c>
      <c r="B21" s="1">
        <v>2</v>
      </c>
      <c r="C21" s="1">
        <f t="shared" si="0"/>
        <v>24900</v>
      </c>
      <c r="D21" s="1">
        <v>24.9</v>
      </c>
    </row>
    <row r="22" spans="1:5" x14ac:dyDescent="0.2">
      <c r="A22" t="s">
        <v>74</v>
      </c>
      <c r="B22" s="1">
        <v>3</v>
      </c>
      <c r="C22" s="1">
        <f t="shared" si="0"/>
        <v>22200</v>
      </c>
      <c r="D22" s="1">
        <v>22.2</v>
      </c>
    </row>
    <row r="23" spans="1:5" x14ac:dyDescent="0.2">
      <c r="A23" t="s">
        <v>74</v>
      </c>
      <c r="B23" s="1">
        <v>4</v>
      </c>
      <c r="C23" s="1">
        <f t="shared" si="0"/>
        <v>22200</v>
      </c>
      <c r="D23" s="1">
        <v>22.2</v>
      </c>
    </row>
    <row r="24" spans="1:5" x14ac:dyDescent="0.2">
      <c r="A24" t="s">
        <v>74</v>
      </c>
      <c r="B24" s="1">
        <v>5</v>
      </c>
      <c r="C24" s="1">
        <f t="shared" si="0"/>
        <v>22200</v>
      </c>
      <c r="D24" s="1">
        <v>22.2</v>
      </c>
    </row>
    <row r="25" spans="1:5" x14ac:dyDescent="0.2">
      <c r="A25" t="s">
        <v>74</v>
      </c>
      <c r="B25" s="1">
        <v>6</v>
      </c>
      <c r="C25" s="1">
        <f t="shared" si="0"/>
        <v>22200</v>
      </c>
      <c r="D25" s="1">
        <v>22.2</v>
      </c>
    </row>
    <row r="26" spans="1:5" x14ac:dyDescent="0.2">
      <c r="A26" t="s">
        <v>74</v>
      </c>
      <c r="B26" s="1">
        <v>7</v>
      </c>
      <c r="C26" s="1">
        <f t="shared" si="0"/>
        <v>22200</v>
      </c>
      <c r="D26" s="1">
        <v>22.2</v>
      </c>
    </row>
    <row r="27" spans="1:5" x14ac:dyDescent="0.2">
      <c r="A27" t="s">
        <v>74</v>
      </c>
      <c r="B27" s="1">
        <v>8</v>
      </c>
      <c r="C27" s="1">
        <f t="shared" si="0"/>
        <v>22200</v>
      </c>
      <c r="D27" s="1">
        <v>22.2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CF01-80CE-E743-8C57-07EFE290C6A1}">
  <dimension ref="A1:I27"/>
  <sheetViews>
    <sheetView workbookViewId="0">
      <selection activeCell="A20" sqref="A20:XFD27"/>
    </sheetView>
  </sheetViews>
  <sheetFormatPr baseColWidth="10" defaultColWidth="11" defaultRowHeight="16" x14ac:dyDescent="0.2"/>
  <sheetData>
    <row r="1" spans="1:9" x14ac:dyDescent="0.2">
      <c r="A1" s="1" t="s">
        <v>75</v>
      </c>
      <c r="B1" s="1"/>
      <c r="G1" s="5" t="s">
        <v>88</v>
      </c>
      <c r="H1" s="5">
        <v>120</v>
      </c>
      <c r="I1" s="5" t="s">
        <v>89</v>
      </c>
    </row>
    <row r="2" spans="1:9" x14ac:dyDescent="0.2">
      <c r="A2" s="1" t="s">
        <v>80</v>
      </c>
      <c r="B2" s="1"/>
    </row>
    <row r="3" spans="1:9" x14ac:dyDescent="0.2">
      <c r="A3" s="1" t="s">
        <v>71</v>
      </c>
      <c r="B3" s="1" t="s">
        <v>0</v>
      </c>
      <c r="C3" s="1" t="s">
        <v>111</v>
      </c>
      <c r="G3" s="1" t="s">
        <v>93</v>
      </c>
      <c r="H3" s="1" t="s">
        <v>95</v>
      </c>
    </row>
    <row r="4" spans="1:9" x14ac:dyDescent="0.2">
      <c r="A4" s="1" t="s">
        <v>69</v>
      </c>
      <c r="B4" s="1">
        <v>1</v>
      </c>
      <c r="C4">
        <f>H4*10^3</f>
        <v>9.6</v>
      </c>
      <c r="G4">
        <v>0.08</v>
      </c>
      <c r="H4">
        <f>$H$1/1000*G4</f>
        <v>9.5999999999999992E-3</v>
      </c>
    </row>
    <row r="5" spans="1:9" x14ac:dyDescent="0.2">
      <c r="A5" s="1" t="s">
        <v>69</v>
      </c>
      <c r="B5" s="1">
        <v>2</v>
      </c>
      <c r="C5">
        <f t="shared" ref="C5:C27" si="0">H5*10^3</f>
        <v>9.6</v>
      </c>
      <c r="G5">
        <v>0.08</v>
      </c>
      <c r="H5">
        <f t="shared" ref="H5:H27" si="1">$H$1/1000*G5</f>
        <v>9.5999999999999992E-3</v>
      </c>
    </row>
    <row r="6" spans="1:9" x14ac:dyDescent="0.2">
      <c r="A6" s="1" t="s">
        <v>69</v>
      </c>
      <c r="B6" s="1">
        <v>3</v>
      </c>
      <c r="C6">
        <f t="shared" si="0"/>
        <v>6</v>
      </c>
      <c r="G6">
        <v>0.05</v>
      </c>
      <c r="H6">
        <f t="shared" si="1"/>
        <v>6.0000000000000001E-3</v>
      </c>
    </row>
    <row r="7" spans="1:9" x14ac:dyDescent="0.2">
      <c r="A7" s="1" t="s">
        <v>69</v>
      </c>
      <c r="B7" s="1">
        <v>4</v>
      </c>
      <c r="C7">
        <f t="shared" si="0"/>
        <v>6</v>
      </c>
      <c r="G7">
        <v>0.05</v>
      </c>
      <c r="H7">
        <f t="shared" si="1"/>
        <v>6.0000000000000001E-3</v>
      </c>
    </row>
    <row r="8" spans="1:9" x14ac:dyDescent="0.2">
      <c r="A8" s="1" t="s">
        <v>69</v>
      </c>
      <c r="B8" s="1">
        <v>5</v>
      </c>
      <c r="C8">
        <f t="shared" si="0"/>
        <v>6</v>
      </c>
      <c r="G8">
        <v>0.05</v>
      </c>
      <c r="H8">
        <f t="shared" si="1"/>
        <v>6.0000000000000001E-3</v>
      </c>
    </row>
    <row r="9" spans="1:9" x14ac:dyDescent="0.2">
      <c r="A9" s="1" t="s">
        <v>69</v>
      </c>
      <c r="B9" s="1">
        <v>6</v>
      </c>
      <c r="C9">
        <f t="shared" si="0"/>
        <v>6</v>
      </c>
      <c r="G9">
        <v>0.05</v>
      </c>
      <c r="H9">
        <f t="shared" si="1"/>
        <v>6.0000000000000001E-3</v>
      </c>
    </row>
    <row r="10" spans="1:9" x14ac:dyDescent="0.2">
      <c r="A10" s="1" t="s">
        <v>69</v>
      </c>
      <c r="B10" s="1">
        <v>7</v>
      </c>
      <c r="C10">
        <f t="shared" si="0"/>
        <v>6</v>
      </c>
      <c r="G10">
        <v>0.05</v>
      </c>
      <c r="H10">
        <f t="shared" si="1"/>
        <v>6.0000000000000001E-3</v>
      </c>
    </row>
    <row r="11" spans="1:9" x14ac:dyDescent="0.2">
      <c r="A11" s="1" t="s">
        <v>69</v>
      </c>
      <c r="B11" s="1">
        <v>8</v>
      </c>
      <c r="C11">
        <f t="shared" si="0"/>
        <v>6</v>
      </c>
      <c r="G11">
        <v>0.05</v>
      </c>
      <c r="H11">
        <f t="shared" si="1"/>
        <v>6.0000000000000001E-3</v>
      </c>
    </row>
    <row r="12" spans="1:9" x14ac:dyDescent="0.2">
      <c r="A12" s="1" t="s">
        <v>72</v>
      </c>
      <c r="B12" s="1">
        <v>1</v>
      </c>
      <c r="C12">
        <f t="shared" si="0"/>
        <v>63.6</v>
      </c>
      <c r="G12">
        <v>0.53</v>
      </c>
      <c r="H12">
        <f t="shared" si="1"/>
        <v>6.3600000000000004E-2</v>
      </c>
    </row>
    <row r="13" spans="1:9" x14ac:dyDescent="0.2">
      <c r="A13" s="1" t="s">
        <v>72</v>
      </c>
      <c r="B13" s="1">
        <v>2</v>
      </c>
      <c r="C13">
        <f t="shared" si="0"/>
        <v>63.6</v>
      </c>
      <c r="G13">
        <v>0.53</v>
      </c>
      <c r="H13">
        <f t="shared" si="1"/>
        <v>6.3600000000000004E-2</v>
      </c>
    </row>
    <row r="14" spans="1:9" x14ac:dyDescent="0.2">
      <c r="A14" s="1" t="s">
        <v>72</v>
      </c>
      <c r="B14" s="1">
        <v>3</v>
      </c>
      <c r="C14">
        <f t="shared" si="0"/>
        <v>8.4</v>
      </c>
      <c r="G14">
        <v>7.0000000000000007E-2</v>
      </c>
      <c r="H14">
        <f t="shared" si="1"/>
        <v>8.4000000000000012E-3</v>
      </c>
    </row>
    <row r="15" spans="1:9" x14ac:dyDescent="0.2">
      <c r="A15" s="1" t="s">
        <v>72</v>
      </c>
      <c r="B15" s="1">
        <v>4</v>
      </c>
      <c r="C15">
        <f t="shared" si="0"/>
        <v>8.4</v>
      </c>
      <c r="G15">
        <v>7.0000000000000007E-2</v>
      </c>
      <c r="H15">
        <f t="shared" si="1"/>
        <v>8.4000000000000012E-3</v>
      </c>
    </row>
    <row r="16" spans="1:9" x14ac:dyDescent="0.2">
      <c r="A16" s="1" t="s">
        <v>72</v>
      </c>
      <c r="B16" s="1">
        <v>5</v>
      </c>
      <c r="C16">
        <f t="shared" si="0"/>
        <v>8.4</v>
      </c>
      <c r="G16">
        <v>7.0000000000000007E-2</v>
      </c>
      <c r="H16">
        <f t="shared" si="1"/>
        <v>8.4000000000000012E-3</v>
      </c>
    </row>
    <row r="17" spans="1:8" x14ac:dyDescent="0.2">
      <c r="A17" s="1" t="s">
        <v>72</v>
      </c>
      <c r="B17" s="1">
        <v>6</v>
      </c>
      <c r="C17">
        <f t="shared" si="0"/>
        <v>8.4</v>
      </c>
      <c r="G17">
        <v>7.0000000000000007E-2</v>
      </c>
      <c r="H17">
        <f t="shared" si="1"/>
        <v>8.4000000000000012E-3</v>
      </c>
    </row>
    <row r="18" spans="1:8" x14ac:dyDescent="0.2">
      <c r="A18" s="1" t="s">
        <v>72</v>
      </c>
      <c r="B18" s="1">
        <v>7</v>
      </c>
      <c r="C18">
        <f t="shared" si="0"/>
        <v>8.4</v>
      </c>
      <c r="G18">
        <v>7.0000000000000007E-2</v>
      </c>
      <c r="H18">
        <f t="shared" si="1"/>
        <v>8.4000000000000012E-3</v>
      </c>
    </row>
    <row r="19" spans="1:8" x14ac:dyDescent="0.2">
      <c r="A19" s="1" t="s">
        <v>72</v>
      </c>
      <c r="B19" s="1">
        <v>8</v>
      </c>
      <c r="C19">
        <f t="shared" si="0"/>
        <v>8.4</v>
      </c>
      <c r="G19">
        <v>7.0000000000000007E-2</v>
      </c>
      <c r="H19">
        <f t="shared" si="1"/>
        <v>8.4000000000000012E-3</v>
      </c>
    </row>
    <row r="20" spans="1:8" x14ac:dyDescent="0.2">
      <c r="A20" t="s">
        <v>74</v>
      </c>
      <c r="B20" s="1">
        <v>1</v>
      </c>
      <c r="C20">
        <f t="shared" si="0"/>
        <v>63.6</v>
      </c>
      <c r="G20">
        <v>0.53</v>
      </c>
      <c r="H20">
        <f t="shared" si="1"/>
        <v>6.3600000000000004E-2</v>
      </c>
    </row>
    <row r="21" spans="1:8" x14ac:dyDescent="0.2">
      <c r="A21" t="s">
        <v>74</v>
      </c>
      <c r="B21" s="1">
        <v>2</v>
      </c>
      <c r="C21">
        <f t="shared" si="0"/>
        <v>63.6</v>
      </c>
      <c r="G21">
        <v>0.53</v>
      </c>
      <c r="H21">
        <f t="shared" si="1"/>
        <v>6.3600000000000004E-2</v>
      </c>
    </row>
    <row r="22" spans="1:8" x14ac:dyDescent="0.2">
      <c r="A22" t="s">
        <v>74</v>
      </c>
      <c r="B22" s="1">
        <v>3</v>
      </c>
      <c r="C22">
        <f t="shared" si="0"/>
        <v>8.4</v>
      </c>
      <c r="G22">
        <v>7.0000000000000007E-2</v>
      </c>
      <c r="H22">
        <f t="shared" si="1"/>
        <v>8.4000000000000012E-3</v>
      </c>
    </row>
    <row r="23" spans="1:8" x14ac:dyDescent="0.2">
      <c r="A23" t="s">
        <v>74</v>
      </c>
      <c r="B23" s="1">
        <v>4</v>
      </c>
      <c r="C23">
        <f t="shared" si="0"/>
        <v>8.4</v>
      </c>
      <c r="G23">
        <v>7.0000000000000007E-2</v>
      </c>
      <c r="H23">
        <f t="shared" si="1"/>
        <v>8.4000000000000012E-3</v>
      </c>
    </row>
    <row r="24" spans="1:8" x14ac:dyDescent="0.2">
      <c r="A24" t="s">
        <v>74</v>
      </c>
      <c r="B24" s="1">
        <v>5</v>
      </c>
      <c r="C24">
        <f t="shared" si="0"/>
        <v>8.4</v>
      </c>
      <c r="G24">
        <v>7.0000000000000007E-2</v>
      </c>
      <c r="H24">
        <f t="shared" si="1"/>
        <v>8.4000000000000012E-3</v>
      </c>
    </row>
    <row r="25" spans="1:8" x14ac:dyDescent="0.2">
      <c r="A25" t="s">
        <v>74</v>
      </c>
      <c r="B25" s="1">
        <v>6</v>
      </c>
      <c r="C25">
        <f t="shared" si="0"/>
        <v>8.4</v>
      </c>
      <c r="G25">
        <v>7.0000000000000007E-2</v>
      </c>
      <c r="H25">
        <f t="shared" si="1"/>
        <v>8.4000000000000012E-3</v>
      </c>
    </row>
    <row r="26" spans="1:8" x14ac:dyDescent="0.2">
      <c r="A26" t="s">
        <v>74</v>
      </c>
      <c r="B26" s="1">
        <v>7</v>
      </c>
      <c r="C26">
        <f t="shared" si="0"/>
        <v>8.4</v>
      </c>
      <c r="G26">
        <v>7.0000000000000007E-2</v>
      </c>
      <c r="H26">
        <f t="shared" si="1"/>
        <v>8.4000000000000012E-3</v>
      </c>
    </row>
    <row r="27" spans="1:8" x14ac:dyDescent="0.2">
      <c r="A27" t="s">
        <v>74</v>
      </c>
      <c r="B27" s="1">
        <v>8</v>
      </c>
      <c r="C27">
        <f t="shared" si="0"/>
        <v>8.4</v>
      </c>
      <c r="G27">
        <v>7.0000000000000007E-2</v>
      </c>
      <c r="H27">
        <f t="shared" si="1"/>
        <v>8.4000000000000012E-3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9969-F67F-AC44-9619-7C34FD5331FA}">
  <dimension ref="A1:C27"/>
  <sheetViews>
    <sheetView workbookViewId="0">
      <selection activeCell="A20" sqref="A20:XFD27"/>
    </sheetView>
  </sheetViews>
  <sheetFormatPr baseColWidth="10" defaultColWidth="11" defaultRowHeight="16" x14ac:dyDescent="0.2"/>
  <sheetData>
    <row r="1" spans="1:3" x14ac:dyDescent="0.2">
      <c r="A1" t="s">
        <v>100</v>
      </c>
    </row>
    <row r="2" spans="1:3" x14ac:dyDescent="0.2">
      <c r="A2" t="s">
        <v>76</v>
      </c>
    </row>
    <row r="3" spans="1:3" x14ac:dyDescent="0.2">
      <c r="A3" t="s">
        <v>71</v>
      </c>
      <c r="B3" t="s">
        <v>0</v>
      </c>
      <c r="C3" t="s">
        <v>70</v>
      </c>
    </row>
    <row r="4" spans="1:3" x14ac:dyDescent="0.2">
      <c r="A4" t="s">
        <v>69</v>
      </c>
      <c r="B4">
        <v>1</v>
      </c>
      <c r="C4" s="2">
        <f>1/1.32</f>
        <v>0.75757575757575757</v>
      </c>
    </row>
    <row r="5" spans="1:3" x14ac:dyDescent="0.2">
      <c r="A5" t="s">
        <v>69</v>
      </c>
      <c r="B5">
        <v>2</v>
      </c>
      <c r="C5" s="2">
        <f t="shared" ref="C5:C11" si="0">1/1.32</f>
        <v>0.75757575757575757</v>
      </c>
    </row>
    <row r="6" spans="1:3" x14ac:dyDescent="0.2">
      <c r="A6" t="s">
        <v>69</v>
      </c>
      <c r="B6">
        <v>3</v>
      </c>
      <c r="C6" s="2">
        <f t="shared" si="0"/>
        <v>0.75757575757575757</v>
      </c>
    </row>
    <row r="7" spans="1:3" x14ac:dyDescent="0.2">
      <c r="A7" t="s">
        <v>69</v>
      </c>
      <c r="B7">
        <v>4</v>
      </c>
      <c r="C7" s="2">
        <f t="shared" si="0"/>
        <v>0.75757575757575757</v>
      </c>
    </row>
    <row r="8" spans="1:3" x14ac:dyDescent="0.2">
      <c r="A8" t="s">
        <v>69</v>
      </c>
      <c r="B8">
        <v>5</v>
      </c>
      <c r="C8" s="2">
        <f t="shared" si="0"/>
        <v>0.75757575757575757</v>
      </c>
    </row>
    <row r="9" spans="1:3" x14ac:dyDescent="0.2">
      <c r="A9" t="s">
        <v>69</v>
      </c>
      <c r="B9">
        <v>6</v>
      </c>
      <c r="C9" s="2">
        <f t="shared" si="0"/>
        <v>0.75757575757575757</v>
      </c>
    </row>
    <row r="10" spans="1:3" x14ac:dyDescent="0.2">
      <c r="A10" t="s">
        <v>69</v>
      </c>
      <c r="B10">
        <v>7</v>
      </c>
      <c r="C10" s="2">
        <f t="shared" si="0"/>
        <v>0.75757575757575757</v>
      </c>
    </row>
    <row r="11" spans="1:3" x14ac:dyDescent="0.2">
      <c r="A11" t="s">
        <v>69</v>
      </c>
      <c r="B11">
        <v>8</v>
      </c>
      <c r="C11" s="2">
        <f t="shared" si="0"/>
        <v>0.75757575757575757</v>
      </c>
    </row>
    <row r="12" spans="1:3" x14ac:dyDescent="0.2">
      <c r="A12" t="s">
        <v>72</v>
      </c>
      <c r="B12">
        <v>1</v>
      </c>
      <c r="C12" s="2">
        <f>1/1.385</f>
        <v>0.72202166064981954</v>
      </c>
    </row>
    <row r="13" spans="1:3" x14ac:dyDescent="0.2">
      <c r="A13" t="s">
        <v>72</v>
      </c>
      <c r="B13">
        <v>2</v>
      </c>
      <c r="C13" s="2">
        <f t="shared" ref="C13:C19" si="1">1/1.385</f>
        <v>0.72202166064981954</v>
      </c>
    </row>
    <row r="14" spans="1:3" x14ac:dyDescent="0.2">
      <c r="A14" t="s">
        <v>72</v>
      </c>
      <c r="B14">
        <v>3</v>
      </c>
      <c r="C14" s="2">
        <f t="shared" si="1"/>
        <v>0.72202166064981954</v>
      </c>
    </row>
    <row r="15" spans="1:3" x14ac:dyDescent="0.2">
      <c r="A15" t="s">
        <v>72</v>
      </c>
      <c r="B15">
        <v>4</v>
      </c>
      <c r="C15" s="2">
        <f t="shared" si="1"/>
        <v>0.72202166064981954</v>
      </c>
    </row>
    <row r="16" spans="1:3" x14ac:dyDescent="0.2">
      <c r="A16" t="s">
        <v>72</v>
      </c>
      <c r="B16">
        <v>5</v>
      </c>
      <c r="C16" s="2">
        <f t="shared" si="1"/>
        <v>0.72202166064981954</v>
      </c>
    </row>
    <row r="17" spans="1:3" x14ac:dyDescent="0.2">
      <c r="A17" t="s">
        <v>72</v>
      </c>
      <c r="B17">
        <v>6</v>
      </c>
      <c r="C17" s="2">
        <f t="shared" si="1"/>
        <v>0.72202166064981954</v>
      </c>
    </row>
    <row r="18" spans="1:3" x14ac:dyDescent="0.2">
      <c r="A18" t="s">
        <v>72</v>
      </c>
      <c r="B18">
        <v>7</v>
      </c>
      <c r="C18" s="2">
        <f t="shared" si="1"/>
        <v>0.72202166064981954</v>
      </c>
    </row>
    <row r="19" spans="1:3" x14ac:dyDescent="0.2">
      <c r="A19" t="s">
        <v>72</v>
      </c>
      <c r="B19">
        <v>8</v>
      </c>
      <c r="C19" s="2">
        <f t="shared" si="1"/>
        <v>0.72202166064981954</v>
      </c>
    </row>
    <row r="20" spans="1:3" x14ac:dyDescent="0.2">
      <c r="A20" s="1" t="s">
        <v>74</v>
      </c>
      <c r="B20">
        <v>1</v>
      </c>
      <c r="C20" s="2">
        <f>1/1.28</f>
        <v>0.78125</v>
      </c>
    </row>
    <row r="21" spans="1:3" x14ac:dyDescent="0.2">
      <c r="A21" s="1" t="s">
        <v>74</v>
      </c>
      <c r="B21">
        <v>2</v>
      </c>
      <c r="C21" s="2">
        <f>1/1.28</f>
        <v>0.78125</v>
      </c>
    </row>
    <row r="22" spans="1:3" x14ac:dyDescent="0.2">
      <c r="A22" s="1" t="s">
        <v>74</v>
      </c>
      <c r="B22">
        <v>3</v>
      </c>
      <c r="C22" s="2">
        <f>1/1.2</f>
        <v>0.83333333333333337</v>
      </c>
    </row>
    <row r="23" spans="1:3" x14ac:dyDescent="0.2">
      <c r="A23" s="1" t="s">
        <v>74</v>
      </c>
      <c r="B23">
        <v>4</v>
      </c>
      <c r="C23" s="2">
        <f t="shared" ref="C23:C27" si="2">1/1.2</f>
        <v>0.83333333333333337</v>
      </c>
    </row>
    <row r="24" spans="1:3" x14ac:dyDescent="0.2">
      <c r="A24" s="1" t="s">
        <v>74</v>
      </c>
      <c r="B24">
        <v>5</v>
      </c>
      <c r="C24" s="2">
        <f t="shared" si="2"/>
        <v>0.83333333333333337</v>
      </c>
    </row>
    <row r="25" spans="1:3" x14ac:dyDescent="0.2">
      <c r="A25" s="1" t="s">
        <v>74</v>
      </c>
      <c r="B25">
        <v>6</v>
      </c>
      <c r="C25" s="2">
        <f t="shared" si="2"/>
        <v>0.83333333333333337</v>
      </c>
    </row>
    <row r="26" spans="1:3" x14ac:dyDescent="0.2">
      <c r="A26" s="1" t="s">
        <v>74</v>
      </c>
      <c r="B26">
        <v>7</v>
      </c>
      <c r="C26" s="2">
        <f t="shared" si="2"/>
        <v>0.83333333333333337</v>
      </c>
    </row>
    <row r="27" spans="1:3" x14ac:dyDescent="0.2">
      <c r="A27" s="1" t="s">
        <v>74</v>
      </c>
      <c r="B27">
        <v>8</v>
      </c>
      <c r="C27" s="2">
        <f t="shared" si="2"/>
        <v>0.83333333333333337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4731-7FE6-2C41-B891-25FD089F2538}">
  <dimension ref="A1:M27"/>
  <sheetViews>
    <sheetView workbookViewId="0">
      <selection activeCell="A20" sqref="A20:XFD27"/>
    </sheetView>
  </sheetViews>
  <sheetFormatPr baseColWidth="10" defaultColWidth="11" defaultRowHeight="16" x14ac:dyDescent="0.2"/>
  <sheetData>
    <row r="1" spans="1:13" x14ac:dyDescent="0.2">
      <c r="A1" t="s">
        <v>100</v>
      </c>
      <c r="F1" s="5" t="s">
        <v>88</v>
      </c>
      <c r="G1" s="5">
        <v>120</v>
      </c>
      <c r="H1" s="5" t="s">
        <v>89</v>
      </c>
      <c r="J1" s="5" t="s">
        <v>91</v>
      </c>
      <c r="K1">
        <f>10^9/3600</f>
        <v>277777.77777777775</v>
      </c>
      <c r="M1">
        <f>2.7777777*10^5</f>
        <v>277777.77</v>
      </c>
    </row>
    <row r="2" spans="1:13" x14ac:dyDescent="0.2">
      <c r="A2" t="s">
        <v>86</v>
      </c>
    </row>
    <row r="3" spans="1:13" x14ac:dyDescent="0.2">
      <c r="A3" t="s">
        <v>71</v>
      </c>
      <c r="B3" t="s">
        <v>0</v>
      </c>
      <c r="C3" t="s">
        <v>112</v>
      </c>
      <c r="F3" t="s">
        <v>87</v>
      </c>
      <c r="G3" t="s">
        <v>90</v>
      </c>
      <c r="H3" t="s">
        <v>92</v>
      </c>
    </row>
    <row r="4" spans="1:13" x14ac:dyDescent="0.2">
      <c r="A4" t="s">
        <v>69</v>
      </c>
      <c r="B4">
        <v>1</v>
      </c>
      <c r="C4" s="6">
        <f>H4*10^3</f>
        <v>-0.66666666666666663</v>
      </c>
      <c r="F4">
        <v>-0.02</v>
      </c>
      <c r="G4">
        <f>F4*$G$1*10^(-9)</f>
        <v>-2.4E-9</v>
      </c>
      <c r="H4">
        <f>G4*$K$1</f>
        <v>-6.6666666666666664E-4</v>
      </c>
    </row>
    <row r="5" spans="1:13" x14ac:dyDescent="0.2">
      <c r="A5" t="s">
        <v>69</v>
      </c>
      <c r="B5">
        <v>2</v>
      </c>
      <c r="C5" s="6">
        <f t="shared" ref="C5:C27" si="0">H5*10^3</f>
        <v>-0.66666666666666663</v>
      </c>
      <c r="F5">
        <v>-0.02</v>
      </c>
      <c r="G5">
        <f t="shared" ref="G5:G27" si="1">F5*$G$1*10^(-9)</f>
        <v>-2.4E-9</v>
      </c>
      <c r="H5">
        <f t="shared" ref="H5:H27" si="2">G5*$K$1</f>
        <v>-6.6666666666666664E-4</v>
      </c>
    </row>
    <row r="6" spans="1:13" x14ac:dyDescent="0.2">
      <c r="A6" t="s">
        <v>69</v>
      </c>
      <c r="B6">
        <v>3</v>
      </c>
      <c r="C6" s="6">
        <f t="shared" si="0"/>
        <v>-0.66666666666666663</v>
      </c>
      <c r="F6">
        <v>-0.02</v>
      </c>
      <c r="G6">
        <f t="shared" si="1"/>
        <v>-2.4E-9</v>
      </c>
      <c r="H6">
        <f t="shared" si="2"/>
        <v>-6.6666666666666664E-4</v>
      </c>
    </row>
    <row r="7" spans="1:13" x14ac:dyDescent="0.2">
      <c r="A7" t="s">
        <v>69</v>
      </c>
      <c r="B7">
        <v>4</v>
      </c>
      <c r="C7" s="6">
        <f t="shared" si="0"/>
        <v>-0.66666666666666663</v>
      </c>
      <c r="F7">
        <v>-0.02</v>
      </c>
      <c r="G7">
        <f t="shared" si="1"/>
        <v>-2.4E-9</v>
      </c>
      <c r="H7">
        <f t="shared" si="2"/>
        <v>-6.6666666666666664E-4</v>
      </c>
    </row>
    <row r="8" spans="1:13" x14ac:dyDescent="0.2">
      <c r="A8" t="s">
        <v>69</v>
      </c>
      <c r="B8">
        <v>5</v>
      </c>
      <c r="C8" s="6">
        <f t="shared" si="0"/>
        <v>-0.66666666666666663</v>
      </c>
      <c r="F8">
        <v>-0.02</v>
      </c>
      <c r="G8">
        <f t="shared" si="1"/>
        <v>-2.4E-9</v>
      </c>
      <c r="H8">
        <f t="shared" si="2"/>
        <v>-6.6666666666666664E-4</v>
      </c>
    </row>
    <row r="9" spans="1:13" x14ac:dyDescent="0.2">
      <c r="A9" t="s">
        <v>69</v>
      </c>
      <c r="B9">
        <v>6</v>
      </c>
      <c r="C9" s="6">
        <f t="shared" si="0"/>
        <v>-0.66666666666666663</v>
      </c>
      <c r="F9">
        <v>-0.02</v>
      </c>
      <c r="G9">
        <f t="shared" si="1"/>
        <v>-2.4E-9</v>
      </c>
      <c r="H9">
        <f t="shared" si="2"/>
        <v>-6.6666666666666664E-4</v>
      </c>
    </row>
    <row r="10" spans="1:13" x14ac:dyDescent="0.2">
      <c r="A10" t="s">
        <v>69</v>
      </c>
      <c r="B10">
        <v>7</v>
      </c>
      <c r="C10" s="6">
        <f t="shared" si="0"/>
        <v>-0.66666666666666663</v>
      </c>
      <c r="F10">
        <v>-0.02</v>
      </c>
      <c r="G10">
        <f t="shared" si="1"/>
        <v>-2.4E-9</v>
      </c>
      <c r="H10">
        <f t="shared" si="2"/>
        <v>-6.6666666666666664E-4</v>
      </c>
    </row>
    <row r="11" spans="1:13" x14ac:dyDescent="0.2">
      <c r="A11" t="s">
        <v>69</v>
      </c>
      <c r="B11">
        <v>8</v>
      </c>
      <c r="C11" s="6">
        <f t="shared" si="0"/>
        <v>-0.66666666666666663</v>
      </c>
      <c r="F11">
        <v>-0.02</v>
      </c>
      <c r="G11">
        <f t="shared" si="1"/>
        <v>-2.4E-9</v>
      </c>
      <c r="H11">
        <f t="shared" si="2"/>
        <v>-6.6666666666666664E-4</v>
      </c>
    </row>
    <row r="12" spans="1:13" x14ac:dyDescent="0.2">
      <c r="A12" t="s">
        <v>72</v>
      </c>
      <c r="B12">
        <v>1</v>
      </c>
      <c r="C12" s="6">
        <f t="shared" si="0"/>
        <v>0.49999999999999989</v>
      </c>
      <c r="F12">
        <v>1.4999999999999999E-2</v>
      </c>
      <c r="G12">
        <f t="shared" si="1"/>
        <v>1.8E-9</v>
      </c>
      <c r="H12">
        <f t="shared" si="2"/>
        <v>4.999999999999999E-4</v>
      </c>
    </row>
    <row r="13" spans="1:13" x14ac:dyDescent="0.2">
      <c r="A13" t="s">
        <v>72</v>
      </c>
      <c r="B13">
        <v>2</v>
      </c>
      <c r="C13" s="6">
        <f t="shared" si="0"/>
        <v>0.49999999999999989</v>
      </c>
      <c r="F13">
        <v>1.4999999999999999E-2</v>
      </c>
      <c r="G13">
        <f t="shared" si="1"/>
        <v>1.8E-9</v>
      </c>
      <c r="H13">
        <f t="shared" si="2"/>
        <v>4.999999999999999E-4</v>
      </c>
    </row>
    <row r="14" spans="1:13" x14ac:dyDescent="0.2">
      <c r="A14" t="s">
        <v>72</v>
      </c>
      <c r="B14">
        <v>3</v>
      </c>
      <c r="C14" s="6">
        <f t="shared" si="0"/>
        <v>0.49999999999999989</v>
      </c>
      <c r="F14">
        <v>1.4999999999999999E-2</v>
      </c>
      <c r="G14">
        <f t="shared" si="1"/>
        <v>1.8E-9</v>
      </c>
      <c r="H14">
        <f t="shared" si="2"/>
        <v>4.999999999999999E-4</v>
      </c>
    </row>
    <row r="15" spans="1:13" x14ac:dyDescent="0.2">
      <c r="A15" t="s">
        <v>72</v>
      </c>
      <c r="B15">
        <v>4</v>
      </c>
      <c r="C15" s="6">
        <f t="shared" si="0"/>
        <v>0.49999999999999989</v>
      </c>
      <c r="F15">
        <v>1.4999999999999999E-2</v>
      </c>
      <c r="G15">
        <f t="shared" si="1"/>
        <v>1.8E-9</v>
      </c>
      <c r="H15">
        <f t="shared" si="2"/>
        <v>4.999999999999999E-4</v>
      </c>
    </row>
    <row r="16" spans="1:13" x14ac:dyDescent="0.2">
      <c r="A16" t="s">
        <v>72</v>
      </c>
      <c r="B16">
        <v>5</v>
      </c>
      <c r="C16" s="6">
        <f t="shared" si="0"/>
        <v>0.49999999999999989</v>
      </c>
      <c r="F16">
        <v>1.4999999999999999E-2</v>
      </c>
      <c r="G16">
        <f t="shared" si="1"/>
        <v>1.8E-9</v>
      </c>
      <c r="H16">
        <f t="shared" si="2"/>
        <v>4.999999999999999E-4</v>
      </c>
    </row>
    <row r="17" spans="1:8" x14ac:dyDescent="0.2">
      <c r="A17" t="s">
        <v>72</v>
      </c>
      <c r="B17">
        <v>6</v>
      </c>
      <c r="C17" s="6">
        <f t="shared" si="0"/>
        <v>0.49999999999999989</v>
      </c>
      <c r="F17">
        <v>1.4999999999999999E-2</v>
      </c>
      <c r="G17">
        <f t="shared" si="1"/>
        <v>1.8E-9</v>
      </c>
      <c r="H17">
        <f t="shared" si="2"/>
        <v>4.999999999999999E-4</v>
      </c>
    </row>
    <row r="18" spans="1:8" x14ac:dyDescent="0.2">
      <c r="A18" t="s">
        <v>72</v>
      </c>
      <c r="B18">
        <v>7</v>
      </c>
      <c r="C18" s="6">
        <f t="shared" si="0"/>
        <v>0.49999999999999989</v>
      </c>
      <c r="F18">
        <v>1.4999999999999999E-2</v>
      </c>
      <c r="G18">
        <f t="shared" si="1"/>
        <v>1.8E-9</v>
      </c>
      <c r="H18">
        <f t="shared" si="2"/>
        <v>4.999999999999999E-4</v>
      </c>
    </row>
    <row r="19" spans="1:8" x14ac:dyDescent="0.2">
      <c r="A19" t="s">
        <v>72</v>
      </c>
      <c r="B19">
        <v>8</v>
      </c>
      <c r="C19" s="6">
        <f t="shared" si="0"/>
        <v>0.49999999999999989</v>
      </c>
      <c r="F19">
        <v>1.4999999999999999E-2</v>
      </c>
      <c r="G19">
        <f t="shared" si="1"/>
        <v>1.8E-9</v>
      </c>
      <c r="H19">
        <f t="shared" si="2"/>
        <v>4.999999999999999E-4</v>
      </c>
    </row>
    <row r="20" spans="1:8" x14ac:dyDescent="0.2">
      <c r="A20" s="1" t="s">
        <v>74</v>
      </c>
      <c r="B20">
        <v>1</v>
      </c>
      <c r="C20" s="6">
        <f t="shared" si="0"/>
        <v>1.9999999999999996</v>
      </c>
      <c r="F20">
        <v>0.06</v>
      </c>
      <c r="G20">
        <f t="shared" si="1"/>
        <v>7.2E-9</v>
      </c>
      <c r="H20">
        <f t="shared" si="2"/>
        <v>1.9999999999999996E-3</v>
      </c>
    </row>
    <row r="21" spans="1:8" x14ac:dyDescent="0.2">
      <c r="A21" s="1" t="s">
        <v>74</v>
      </c>
      <c r="B21">
        <v>2</v>
      </c>
      <c r="C21" s="6">
        <f t="shared" si="0"/>
        <v>1.9999999999999996</v>
      </c>
      <c r="F21">
        <v>0.06</v>
      </c>
      <c r="G21">
        <f t="shared" si="1"/>
        <v>7.2E-9</v>
      </c>
      <c r="H21">
        <f t="shared" si="2"/>
        <v>1.9999999999999996E-3</v>
      </c>
    </row>
    <row r="22" spans="1:8" x14ac:dyDescent="0.2">
      <c r="A22" s="1" t="s">
        <v>74</v>
      </c>
      <c r="B22">
        <v>3</v>
      </c>
      <c r="C22" s="6">
        <f t="shared" si="0"/>
        <v>1.6666666666666667</v>
      </c>
      <c r="F22">
        <v>0.05</v>
      </c>
      <c r="G22">
        <f t="shared" si="1"/>
        <v>6.0000000000000008E-9</v>
      </c>
      <c r="H22">
        <f t="shared" si="2"/>
        <v>1.6666666666666668E-3</v>
      </c>
    </row>
    <row r="23" spans="1:8" x14ac:dyDescent="0.2">
      <c r="A23" s="1" t="s">
        <v>74</v>
      </c>
      <c r="B23">
        <v>4</v>
      </c>
      <c r="C23" s="6">
        <f t="shared" si="0"/>
        <v>1.6666666666666667</v>
      </c>
      <c r="F23">
        <v>0.05</v>
      </c>
      <c r="G23">
        <f t="shared" si="1"/>
        <v>6.0000000000000008E-9</v>
      </c>
      <c r="H23">
        <f t="shared" si="2"/>
        <v>1.6666666666666668E-3</v>
      </c>
    </row>
    <row r="24" spans="1:8" x14ac:dyDescent="0.2">
      <c r="A24" s="1" t="s">
        <v>74</v>
      </c>
      <c r="B24">
        <v>5</v>
      </c>
      <c r="C24" s="6">
        <f t="shared" si="0"/>
        <v>1.6666666666666667</v>
      </c>
      <c r="F24">
        <v>0.05</v>
      </c>
      <c r="G24">
        <f t="shared" si="1"/>
        <v>6.0000000000000008E-9</v>
      </c>
      <c r="H24">
        <f t="shared" si="2"/>
        <v>1.6666666666666668E-3</v>
      </c>
    </row>
    <row r="25" spans="1:8" x14ac:dyDescent="0.2">
      <c r="A25" s="1" t="s">
        <v>74</v>
      </c>
      <c r="B25">
        <v>6</v>
      </c>
      <c r="C25" s="6">
        <f t="shared" si="0"/>
        <v>1.6666666666666667</v>
      </c>
      <c r="F25">
        <v>0.05</v>
      </c>
      <c r="G25">
        <f t="shared" si="1"/>
        <v>6.0000000000000008E-9</v>
      </c>
      <c r="H25">
        <f t="shared" si="2"/>
        <v>1.6666666666666668E-3</v>
      </c>
    </row>
    <row r="26" spans="1:8" x14ac:dyDescent="0.2">
      <c r="A26" s="1" t="s">
        <v>74</v>
      </c>
      <c r="B26">
        <v>7</v>
      </c>
      <c r="C26" s="6">
        <f t="shared" si="0"/>
        <v>1.6666666666666667</v>
      </c>
      <c r="F26">
        <v>0.05</v>
      </c>
      <c r="G26">
        <f t="shared" si="1"/>
        <v>6.0000000000000008E-9</v>
      </c>
      <c r="H26">
        <f t="shared" si="2"/>
        <v>1.6666666666666668E-3</v>
      </c>
    </row>
    <row r="27" spans="1:8" x14ac:dyDescent="0.2">
      <c r="A27" s="1" t="s">
        <v>74</v>
      </c>
      <c r="B27">
        <v>8</v>
      </c>
      <c r="C27" s="6">
        <f t="shared" si="0"/>
        <v>1.6666666666666667</v>
      </c>
      <c r="F27">
        <v>0.05</v>
      </c>
      <c r="G27">
        <f t="shared" si="1"/>
        <v>6.0000000000000008E-9</v>
      </c>
      <c r="H27">
        <f t="shared" si="2"/>
        <v>1.6666666666666668E-3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Generators</vt:lpstr>
      <vt:lpstr>ProductionNodes</vt:lpstr>
      <vt:lpstr>ReformerLocations</vt:lpstr>
      <vt:lpstr>ReformerPlants</vt:lpstr>
      <vt:lpstr>ReformerCapitalCost</vt:lpstr>
      <vt:lpstr>ReformerFixedOMCost</vt:lpstr>
      <vt:lpstr>ReformerVariableOMCost</vt:lpstr>
      <vt:lpstr>ReformerEfficiency</vt:lpstr>
      <vt:lpstr>ReformerElectricityUse</vt:lpstr>
      <vt:lpstr>ReformerLifetime</vt:lpstr>
      <vt:lpstr>ReformerEmissionFactor</vt:lpstr>
      <vt:lpstr>ReformerCO2CaptureFactor</vt:lpstr>
      <vt:lpstr>ElectrolyzerPlantCapitalCost</vt:lpstr>
      <vt:lpstr>ElectrolyzerFixedOMCost</vt:lpstr>
      <vt:lpstr>ElectrolyzerStackCapitalCost</vt:lpstr>
      <vt:lpstr>ElectrolyzerLifetime</vt:lpstr>
      <vt:lpstr>ElectrolyzerPowerUse</vt:lpstr>
      <vt:lpstr>PipelineCapitalCost</vt:lpstr>
      <vt:lpstr>PipelineOMCostPerKM</vt:lpstr>
      <vt:lpstr>PipelineCompressorPowerUsage</vt:lpstr>
      <vt:lpstr>StorageCapitalCost</vt:lpstr>
      <vt:lpstr>StorageFixedOMCost</vt:lpstr>
      <vt:lpstr>StorageMaxCapacity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2021-09-15T10:06:39Z</dcterms:created>
  <dcterms:modified xsi:type="dcterms:W3CDTF">2023-06-03T21:57:00Z</dcterms:modified>
</cp:coreProperties>
</file>