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andurakovic/PhD work/EMPIRE-Hydrogen/Data handler/full_model/"/>
    </mc:Choice>
  </mc:AlternateContent>
  <xr:revisionPtr revIDLastSave="0" documentId="13_ncr:1_{7715FC36-E112-5145-9D0A-80BDEC534010}" xr6:coauthVersionLast="47" xr6:coauthVersionMax="47" xr10:uidLastSave="{00000000-0000-0000-0000-000000000000}"/>
  <bookViews>
    <workbookView xWindow="-42580" yWindow="480" windowWidth="33600" windowHeight="19440" firstSheet="3" activeTab="12" xr2:uid="{B8A095A0-57FA-4145-9ABF-50738F3F0058}"/>
  </bookViews>
  <sheets>
    <sheet name="Steel_Plants" sheetId="1" r:id="rId1"/>
    <sheet name="Steel_InitialCapacity" sheetId="21" r:id="rId2"/>
    <sheet name="Steel_ScaleFactorInitialCap" sheetId="22" r:id="rId3"/>
    <sheet name="Steel_InvCost" sheetId="23" r:id="rId4"/>
    <sheet name="Steel_FixedOM" sheetId="25" r:id="rId5"/>
    <sheet name="Steel_VarOpex" sheetId="24" r:id="rId6"/>
    <sheet name="Steel_CoalConsumption" sheetId="2" r:id="rId7"/>
    <sheet name="Steel_HydrogenConsumption" sheetId="18" r:id="rId8"/>
    <sheet name="Steel_BioConsumption" sheetId="19" r:id="rId9"/>
    <sheet name="Steel_OilConsumption" sheetId="20" r:id="rId10"/>
    <sheet name="Steel_ElConsumption" sheetId="3" r:id="rId11"/>
    <sheet name="Steel_CO2Emissions" sheetId="17" r:id="rId12"/>
    <sheet name="Steel_CO2Captured" sheetId="35" r:id="rId13"/>
    <sheet name="Steel_YearlyProduction" sheetId="4" r:id="rId14"/>
    <sheet name="Cement_Plants" sheetId="6" r:id="rId15"/>
    <sheet name="Cement_InitialCapacity" sheetId="27" r:id="rId16"/>
    <sheet name="Cement_ScaleFactorInitialCap" sheetId="28" r:id="rId17"/>
    <sheet name="Cement_InvCost" sheetId="26" r:id="rId18"/>
    <sheet name="Cement_FixedOM" sheetId="29" r:id="rId19"/>
    <sheet name="Cement_FuelConsumption" sheetId="7" r:id="rId20"/>
    <sheet name="Cement_CO2CaptureRate" sheetId="34" r:id="rId21"/>
    <sheet name="Cement_ElConsumption" sheetId="8" r:id="rId22"/>
    <sheet name="Cement_YearlyProduction" sheetId="9" r:id="rId23"/>
    <sheet name="Ammonia_Plants" sheetId="10" r:id="rId24"/>
    <sheet name="Ammonia_InitialCapacity" sheetId="30" r:id="rId25"/>
    <sheet name="Ammonia_ScaleFactorInitialCap" sheetId="31" r:id="rId26"/>
    <sheet name="Ammonia_InvCost" sheetId="32" r:id="rId27"/>
    <sheet name="Ammonia_FixedOM" sheetId="33" r:id="rId28"/>
    <sheet name="Ammonia_FeedstockConsumption" sheetId="11" r:id="rId29"/>
    <sheet name="Ammonia_ElConsumption" sheetId="12" r:id="rId30"/>
    <sheet name="Ammonia_YearlyProduction" sheetId="13" r:id="rId31"/>
    <sheet name="Refinery_HydrogenConsumption" sheetId="15" r:id="rId32"/>
    <sheet name="Refinery_HeatConsumption" sheetId="16" r:id="rId33"/>
    <sheet name="Refinery_YearlyProduction" sheetId="14" r:id="rId34"/>
  </sheets>
  <definedNames>
    <definedName name="_xlnm._FilterDatabase" localSheetId="33" hidden="1">Refinery_YearlyProduction!$A$3:$C$203</definedName>
    <definedName name="_xlnm._FilterDatabase" localSheetId="13" hidden="1">Steel_YearlyProduction!$A$3:$E$163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5" i="23" l="1"/>
  <c r="C46" i="23"/>
  <c r="C47" i="23"/>
  <c r="C48" i="23"/>
  <c r="C49" i="23"/>
  <c r="C50" i="23"/>
  <c r="C51" i="23"/>
  <c r="C44" i="23"/>
  <c r="B9" i="35"/>
  <c r="B9" i="17"/>
  <c r="J45" i="23"/>
  <c r="J46" i="23"/>
  <c r="J47" i="23"/>
  <c r="J48" i="23"/>
  <c r="J49" i="23"/>
  <c r="J50" i="23"/>
  <c r="J51" i="23"/>
  <c r="J44" i="23"/>
  <c r="C20" i="18"/>
  <c r="C21" i="18"/>
  <c r="C22" i="18"/>
  <c r="C23" i="18"/>
  <c r="C24" i="18"/>
  <c r="C25" i="18"/>
  <c r="C26" i="18"/>
  <c r="C27" i="18"/>
  <c r="C44" i="18"/>
  <c r="C45" i="18"/>
  <c r="C46" i="18"/>
  <c r="C47" i="18"/>
  <c r="C48" i="18"/>
  <c r="C49" i="18"/>
  <c r="C50" i="18"/>
  <c r="C51" i="18"/>
  <c r="G5" i="2" l="1"/>
  <c r="G45" i="2" s="1"/>
  <c r="G6" i="2"/>
  <c r="G7" i="2"/>
  <c r="G47" i="2" s="1"/>
  <c r="G8" i="2"/>
  <c r="G9" i="2"/>
  <c r="G10" i="2"/>
  <c r="G50" i="2" s="1"/>
  <c r="G11" i="2"/>
  <c r="G4" i="2"/>
  <c r="G51" i="2"/>
  <c r="G49" i="2"/>
  <c r="G48" i="2"/>
  <c r="G46" i="2"/>
  <c r="G44" i="2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4" i="25"/>
  <c r="C45" i="3"/>
  <c r="C46" i="3"/>
  <c r="C47" i="3"/>
  <c r="C48" i="3"/>
  <c r="C49" i="3"/>
  <c r="C50" i="3"/>
  <c r="C51" i="3"/>
  <c r="C44" i="3"/>
  <c r="L45" i="23"/>
  <c r="L46" i="23"/>
  <c r="L47" i="23"/>
  <c r="L48" i="23"/>
  <c r="L49" i="23"/>
  <c r="L50" i="23"/>
  <c r="L51" i="23"/>
  <c r="L44" i="23"/>
  <c r="C45" i="2"/>
  <c r="C46" i="2"/>
  <c r="C47" i="2"/>
  <c r="C48" i="2"/>
  <c r="C49" i="2"/>
  <c r="C50" i="2"/>
  <c r="C51" i="2"/>
  <c r="C44" i="2"/>
  <c r="C45" i="24"/>
  <c r="C46" i="24"/>
  <c r="C47" i="24"/>
  <c r="C48" i="24"/>
  <c r="C49" i="24"/>
  <c r="C50" i="24"/>
  <c r="C51" i="24"/>
  <c r="C44" i="24"/>
  <c r="G46" i="25"/>
  <c r="G47" i="25"/>
  <c r="G48" i="25"/>
  <c r="G49" i="25"/>
  <c r="G50" i="25"/>
  <c r="G51" i="25"/>
  <c r="G52" i="25"/>
  <c r="G45" i="25"/>
  <c r="C45" i="19"/>
  <c r="C46" i="19"/>
  <c r="C47" i="19"/>
  <c r="C48" i="19"/>
  <c r="C49" i="19"/>
  <c r="C50" i="19"/>
  <c r="C51" i="19"/>
  <c r="C44" i="19"/>
  <c r="C45" i="20"/>
  <c r="C46" i="20"/>
  <c r="C47" i="20"/>
  <c r="C48" i="20"/>
  <c r="C49" i="20"/>
  <c r="C50" i="20"/>
  <c r="C51" i="20"/>
  <c r="C44" i="20"/>
  <c r="C21" i="8"/>
  <c r="C22" i="8"/>
  <c r="C23" i="8"/>
  <c r="C24" i="8"/>
  <c r="C25" i="8"/>
  <c r="C26" i="8"/>
  <c r="C27" i="8"/>
  <c r="C20" i="8"/>
  <c r="C27" i="7"/>
  <c r="C26" i="7"/>
  <c r="C25" i="7"/>
  <c r="C24" i="7"/>
  <c r="C23" i="7"/>
  <c r="C22" i="7"/>
  <c r="C21" i="7"/>
  <c r="C20" i="7"/>
  <c r="G27" i="7"/>
  <c r="H27" i="7" s="1"/>
  <c r="G26" i="7"/>
  <c r="H26" i="7" s="1"/>
  <c r="G25" i="7"/>
  <c r="H25" i="7" s="1"/>
  <c r="G24" i="7"/>
  <c r="H24" i="7" s="1"/>
  <c r="H23" i="7"/>
  <c r="G23" i="7"/>
  <c r="G22" i="7"/>
  <c r="H22" i="7" s="1"/>
  <c r="G21" i="7"/>
  <c r="H21" i="7" s="1"/>
  <c r="G20" i="7"/>
  <c r="H20" i="7" s="1"/>
  <c r="C20" i="29"/>
  <c r="C21" i="29"/>
  <c r="C22" i="29"/>
  <c r="C23" i="29"/>
  <c r="C24" i="29"/>
  <c r="C25" i="29"/>
  <c r="C26" i="29"/>
  <c r="C27" i="29"/>
  <c r="C21" i="26"/>
  <c r="C22" i="26"/>
  <c r="C23" i="26"/>
  <c r="C24" i="26"/>
  <c r="C25" i="26"/>
  <c r="C26" i="26"/>
  <c r="C27" i="26"/>
  <c r="C20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4" i="26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" i="23"/>
  <c r="H43" i="21"/>
  <c r="H42" i="21"/>
  <c r="H41" i="21"/>
  <c r="H40" i="21"/>
  <c r="C40" i="21" s="1"/>
  <c r="H39" i="21"/>
  <c r="H38" i="21"/>
  <c r="H37" i="21"/>
  <c r="H36" i="21"/>
  <c r="H35" i="21"/>
  <c r="H34" i="21"/>
  <c r="C34" i="21" s="1"/>
  <c r="H33" i="21"/>
  <c r="H32" i="21"/>
  <c r="C32" i="21" s="1"/>
  <c r="H31" i="21"/>
  <c r="H30" i="21"/>
  <c r="H29" i="21"/>
  <c r="C29" i="21" s="1"/>
  <c r="H28" i="21"/>
  <c r="H27" i="21"/>
  <c r="H26" i="21"/>
  <c r="H25" i="21"/>
  <c r="H24" i="21"/>
  <c r="H19" i="21"/>
  <c r="C19" i="21" s="1"/>
  <c r="H18" i="21"/>
  <c r="H17" i="21"/>
  <c r="H13" i="21"/>
  <c r="C13" i="21" s="1"/>
  <c r="H12" i="21"/>
  <c r="H11" i="21"/>
  <c r="H8" i="21"/>
  <c r="H7" i="21"/>
  <c r="H6" i="21"/>
  <c r="C6" i="21" s="1"/>
  <c r="H5" i="21"/>
  <c r="H4" i="21"/>
  <c r="C4" i="21" s="1"/>
  <c r="H16" i="21"/>
  <c r="H15" i="21"/>
  <c r="C15" i="21" s="1"/>
  <c r="H14" i="21"/>
  <c r="C14" i="21" s="1"/>
  <c r="H9" i="21"/>
  <c r="H10" i="21"/>
  <c r="C5" i="21"/>
  <c r="C7" i="21"/>
  <c r="C8" i="21"/>
  <c r="C9" i="21"/>
  <c r="C10" i="21"/>
  <c r="C11" i="21"/>
  <c r="C12" i="21"/>
  <c r="C16" i="21"/>
  <c r="C17" i="21"/>
  <c r="C18" i="21"/>
  <c r="C20" i="21"/>
  <c r="C21" i="21"/>
  <c r="C22" i="21"/>
  <c r="C23" i="21"/>
  <c r="C24" i="21"/>
  <c r="C25" i="21"/>
  <c r="C26" i="21"/>
  <c r="C27" i="21"/>
  <c r="C28" i="21"/>
  <c r="C30" i="21"/>
  <c r="C31" i="21"/>
  <c r="C33" i="21"/>
  <c r="C35" i="21"/>
  <c r="C36" i="21"/>
  <c r="C37" i="21"/>
  <c r="C38" i="21"/>
  <c r="C39" i="21"/>
  <c r="C41" i="21"/>
  <c r="C42" i="21"/>
  <c r="C43" i="21"/>
  <c r="B6" i="17"/>
  <c r="B5" i="17" s="1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11" i="20"/>
  <c r="C10" i="20"/>
  <c r="C9" i="20"/>
  <c r="C8" i="20"/>
  <c r="C7" i="20"/>
  <c r="C6" i="20"/>
  <c r="C5" i="20"/>
  <c r="C4" i="20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2"/>
  <c r="C10" i="2"/>
  <c r="C9" i="2"/>
  <c r="C8" i="2"/>
  <c r="C7" i="2"/>
  <c r="C6" i="2"/>
  <c r="C5" i="2"/>
  <c r="C4" i="2"/>
  <c r="C35" i="24"/>
  <c r="C34" i="24"/>
  <c r="C33" i="24"/>
  <c r="C32" i="24"/>
  <c r="C24" i="24" s="1"/>
  <c r="C31" i="24"/>
  <c r="C30" i="24"/>
  <c r="C22" i="24" s="1"/>
  <c r="C29" i="24"/>
  <c r="C28" i="24"/>
  <c r="C20" i="24" s="1"/>
  <c r="C27" i="24"/>
  <c r="C26" i="24"/>
  <c r="C25" i="24"/>
  <c r="C23" i="24"/>
  <c r="C21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C12" i="22"/>
  <c r="C13" i="22" s="1"/>
  <c r="C14" i="22" s="1"/>
  <c r="C15" i="22" s="1"/>
  <c r="C16" i="22" s="1"/>
  <c r="C5" i="22"/>
  <c r="C6" i="22" s="1"/>
  <c r="C7" i="22" s="1"/>
  <c r="C8" i="22" s="1"/>
  <c r="C4" i="22"/>
  <c r="G5" i="14" l="1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4" i="14"/>
  <c r="G4" i="16"/>
  <c r="G4" i="15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4" i="33"/>
  <c r="C13" i="32"/>
  <c r="C14" i="32"/>
  <c r="C15" i="32"/>
  <c r="C16" i="32"/>
  <c r="C17" i="32"/>
  <c r="C18" i="32"/>
  <c r="C19" i="32"/>
  <c r="C12" i="32"/>
  <c r="K7" i="32"/>
  <c r="C5" i="32"/>
  <c r="C6" i="32"/>
  <c r="C7" i="32"/>
  <c r="C8" i="32"/>
  <c r="C9" i="32"/>
  <c r="C10" i="32"/>
  <c r="C11" i="32"/>
  <c r="C4" i="32"/>
  <c r="C4" i="31"/>
  <c r="C5" i="31" s="1"/>
  <c r="C6" i="31" s="1"/>
  <c r="C7" i="31" s="1"/>
  <c r="C8" i="31" s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4" i="30"/>
  <c r="C5" i="29" l="1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4" i="29"/>
  <c r="C4" i="28"/>
  <c r="C5" i="28" s="1"/>
  <c r="C6" i="28" s="1"/>
  <c r="C7" i="28" s="1"/>
  <c r="C8" i="28" s="1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4" i="27"/>
  <c r="E44" i="4" l="1"/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F4" i="14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4" i="9"/>
  <c r="F28" i="9"/>
  <c r="F27" i="9"/>
  <c r="F26" i="9"/>
  <c r="F25" i="9"/>
  <c r="F24" i="9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4" i="13"/>
  <c r="C3" i="14" l="1"/>
  <c r="C175" i="14"/>
  <c r="C4" i="14"/>
  <c r="F196" i="14"/>
  <c r="F197" i="14" s="1"/>
  <c r="F198" i="14" s="1"/>
  <c r="F199" i="14" s="1"/>
  <c r="F200" i="14" s="1"/>
  <c r="F201" i="14" s="1"/>
  <c r="F202" i="14" s="1"/>
  <c r="F203" i="14" s="1"/>
  <c r="C203" i="14" s="1"/>
  <c r="F188" i="14"/>
  <c r="F189" i="14" s="1"/>
  <c r="F190" i="14" s="1"/>
  <c r="F191" i="14" s="1"/>
  <c r="F192" i="14" s="1"/>
  <c r="F193" i="14" s="1"/>
  <c r="F194" i="14" s="1"/>
  <c r="F195" i="14" s="1"/>
  <c r="C195" i="14" s="1"/>
  <c r="F180" i="14"/>
  <c r="F181" i="14" s="1"/>
  <c r="F182" i="14" s="1"/>
  <c r="F183" i="14" s="1"/>
  <c r="F184" i="14" s="1"/>
  <c r="F185" i="14" s="1"/>
  <c r="F186" i="14" s="1"/>
  <c r="F187" i="14" s="1"/>
  <c r="C187" i="14" s="1"/>
  <c r="F172" i="14"/>
  <c r="F173" i="14" s="1"/>
  <c r="F174" i="14" s="1"/>
  <c r="F175" i="14" s="1"/>
  <c r="F176" i="14" s="1"/>
  <c r="F177" i="14" s="1"/>
  <c r="F178" i="14" s="1"/>
  <c r="F179" i="14" s="1"/>
  <c r="C179" i="14" s="1"/>
  <c r="F164" i="14"/>
  <c r="F165" i="14" s="1"/>
  <c r="F166" i="14" s="1"/>
  <c r="F167" i="14" s="1"/>
  <c r="F168" i="14" s="1"/>
  <c r="F169" i="14" s="1"/>
  <c r="F170" i="14" s="1"/>
  <c r="F171" i="14" s="1"/>
  <c r="C171" i="14" s="1"/>
  <c r="F156" i="14"/>
  <c r="F157" i="14" s="1"/>
  <c r="F158" i="14" s="1"/>
  <c r="F159" i="14" s="1"/>
  <c r="F160" i="14" s="1"/>
  <c r="F161" i="14" s="1"/>
  <c r="F162" i="14" s="1"/>
  <c r="F163" i="14" s="1"/>
  <c r="C163" i="14" s="1"/>
  <c r="F148" i="14"/>
  <c r="F149" i="14" s="1"/>
  <c r="F150" i="14" s="1"/>
  <c r="F151" i="14" s="1"/>
  <c r="F152" i="14" s="1"/>
  <c r="F153" i="14" s="1"/>
  <c r="F154" i="14" s="1"/>
  <c r="F155" i="14" s="1"/>
  <c r="C155" i="14" s="1"/>
  <c r="F140" i="14"/>
  <c r="F141" i="14" s="1"/>
  <c r="F142" i="14" s="1"/>
  <c r="F143" i="14" s="1"/>
  <c r="F144" i="14" s="1"/>
  <c r="F145" i="14" s="1"/>
  <c r="F146" i="14" s="1"/>
  <c r="F147" i="14" s="1"/>
  <c r="C147" i="14" s="1"/>
  <c r="F132" i="14"/>
  <c r="F133" i="14" s="1"/>
  <c r="F134" i="14" s="1"/>
  <c r="F135" i="14" s="1"/>
  <c r="F136" i="14" s="1"/>
  <c r="F137" i="14" s="1"/>
  <c r="F138" i="14" s="1"/>
  <c r="F139" i="14" s="1"/>
  <c r="C139" i="14" s="1"/>
  <c r="F124" i="14"/>
  <c r="F125" i="14" s="1"/>
  <c r="F126" i="14" s="1"/>
  <c r="F127" i="14" s="1"/>
  <c r="F128" i="14" s="1"/>
  <c r="F129" i="14" s="1"/>
  <c r="F130" i="14" s="1"/>
  <c r="F131" i="14" s="1"/>
  <c r="C131" i="14" s="1"/>
  <c r="F116" i="14"/>
  <c r="F117" i="14" s="1"/>
  <c r="F118" i="14" s="1"/>
  <c r="F119" i="14" s="1"/>
  <c r="F120" i="14" s="1"/>
  <c r="F121" i="14" s="1"/>
  <c r="F122" i="14" s="1"/>
  <c r="F123" i="14" s="1"/>
  <c r="C123" i="14" s="1"/>
  <c r="F108" i="14"/>
  <c r="F109" i="14" s="1"/>
  <c r="F110" i="14" s="1"/>
  <c r="F111" i="14" s="1"/>
  <c r="F112" i="14" s="1"/>
  <c r="F113" i="14" s="1"/>
  <c r="F114" i="14" s="1"/>
  <c r="F115" i="14" s="1"/>
  <c r="C115" i="14" s="1"/>
  <c r="F100" i="14"/>
  <c r="F101" i="14" s="1"/>
  <c r="F102" i="14" s="1"/>
  <c r="F103" i="14" s="1"/>
  <c r="F104" i="14" s="1"/>
  <c r="F105" i="14" s="1"/>
  <c r="F106" i="14" s="1"/>
  <c r="F107" i="14" s="1"/>
  <c r="C107" i="14" s="1"/>
  <c r="F92" i="14"/>
  <c r="F93" i="14" s="1"/>
  <c r="F94" i="14" s="1"/>
  <c r="F95" i="14" s="1"/>
  <c r="F96" i="14" s="1"/>
  <c r="F97" i="14" s="1"/>
  <c r="F98" i="14" s="1"/>
  <c r="F99" i="14" s="1"/>
  <c r="C99" i="14" s="1"/>
  <c r="F84" i="14"/>
  <c r="F85" i="14" s="1"/>
  <c r="F76" i="14"/>
  <c r="F77" i="14" s="1"/>
  <c r="F78" i="14" s="1"/>
  <c r="F79" i="14" s="1"/>
  <c r="F80" i="14" s="1"/>
  <c r="F81" i="14" s="1"/>
  <c r="F82" i="14" s="1"/>
  <c r="F83" i="14" s="1"/>
  <c r="C83" i="14" s="1"/>
  <c r="F68" i="14"/>
  <c r="F69" i="14" s="1"/>
  <c r="F60" i="14"/>
  <c r="F61" i="14" s="1"/>
  <c r="F62" i="14" s="1"/>
  <c r="F63" i="14" s="1"/>
  <c r="F64" i="14" s="1"/>
  <c r="F65" i="14" s="1"/>
  <c r="F66" i="14" s="1"/>
  <c r="F67" i="14" s="1"/>
  <c r="C67" i="14" s="1"/>
  <c r="F52" i="14"/>
  <c r="F53" i="14" s="1"/>
  <c r="F54" i="14" s="1"/>
  <c r="F55" i="14" s="1"/>
  <c r="F56" i="14" s="1"/>
  <c r="F57" i="14" s="1"/>
  <c r="F58" i="14" s="1"/>
  <c r="F59" i="14" s="1"/>
  <c r="C59" i="14" s="1"/>
  <c r="F44" i="14"/>
  <c r="F45" i="14" s="1"/>
  <c r="F46" i="14" s="1"/>
  <c r="F47" i="14" s="1"/>
  <c r="F48" i="14" s="1"/>
  <c r="F49" i="14" s="1"/>
  <c r="F50" i="14" s="1"/>
  <c r="F51" i="14" s="1"/>
  <c r="C51" i="14" s="1"/>
  <c r="F36" i="14"/>
  <c r="F37" i="14" s="1"/>
  <c r="F38" i="14" s="1"/>
  <c r="F39" i="14" s="1"/>
  <c r="F40" i="14" s="1"/>
  <c r="F41" i="14" s="1"/>
  <c r="F42" i="14" s="1"/>
  <c r="F43" i="14" s="1"/>
  <c r="C43" i="14" s="1"/>
  <c r="F28" i="14"/>
  <c r="F29" i="14" s="1"/>
  <c r="F30" i="14" s="1"/>
  <c r="F31" i="14" s="1"/>
  <c r="F32" i="14" s="1"/>
  <c r="F33" i="14" s="1"/>
  <c r="F34" i="14" s="1"/>
  <c r="F35" i="14" s="1"/>
  <c r="C35" i="14" s="1"/>
  <c r="F20" i="14"/>
  <c r="F21" i="14" s="1"/>
  <c r="F12" i="14"/>
  <c r="F13" i="14" s="1"/>
  <c r="F14" i="14" s="1"/>
  <c r="F15" i="14" s="1"/>
  <c r="F16" i="14" s="1"/>
  <c r="F17" i="14" s="1"/>
  <c r="F18" i="14" s="1"/>
  <c r="F19" i="14" s="1"/>
  <c r="C19" i="14" s="1"/>
  <c r="F5" i="14"/>
  <c r="F6" i="14" s="1"/>
  <c r="F7" i="14" s="1"/>
  <c r="F8" i="14" s="1"/>
  <c r="F9" i="14" s="1"/>
  <c r="F10" i="14" s="1"/>
  <c r="F11" i="14" s="1"/>
  <c r="C11" i="14" s="1"/>
  <c r="A4" i="16"/>
  <c r="A3" i="16"/>
  <c r="A4" i="15"/>
  <c r="F4" i="15"/>
  <c r="C167" i="14" l="1"/>
  <c r="C166" i="14"/>
  <c r="C159" i="14"/>
  <c r="C158" i="14"/>
  <c r="C199" i="14"/>
  <c r="C151" i="14"/>
  <c r="C198" i="14"/>
  <c r="C150" i="14"/>
  <c r="C142" i="14"/>
  <c r="C174" i="14"/>
  <c r="F70" i="14"/>
  <c r="C69" i="14"/>
  <c r="F22" i="14"/>
  <c r="C21" i="14"/>
  <c r="F86" i="14"/>
  <c r="C85" i="14"/>
  <c r="C191" i="14"/>
  <c r="C183" i="14"/>
  <c r="C143" i="14"/>
  <c r="C135" i="14"/>
  <c r="C127" i="14"/>
  <c r="C119" i="14"/>
  <c r="C111" i="14"/>
  <c r="C103" i="14"/>
  <c r="C95" i="14"/>
  <c r="C79" i="14"/>
  <c r="C63" i="14"/>
  <c r="C55" i="14"/>
  <c r="C47" i="14"/>
  <c r="C39" i="14"/>
  <c r="C31" i="14"/>
  <c r="C15" i="14"/>
  <c r="C190" i="14"/>
  <c r="C182" i="14"/>
  <c r="C134" i="14"/>
  <c r="C126" i="14"/>
  <c r="C118" i="14"/>
  <c r="C110" i="14"/>
  <c r="C102" i="14"/>
  <c r="C94" i="14"/>
  <c r="C78" i="14"/>
  <c r="C62" i="14"/>
  <c r="C54" i="14"/>
  <c r="C46" i="14"/>
  <c r="C38" i="14"/>
  <c r="C30" i="14"/>
  <c r="C14" i="14"/>
  <c r="C197" i="14"/>
  <c r="C189" i="14"/>
  <c r="C181" i="14"/>
  <c r="C173" i="14"/>
  <c r="C165" i="14"/>
  <c r="C157" i="14"/>
  <c r="C149" i="14"/>
  <c r="C141" i="14"/>
  <c r="C133" i="14"/>
  <c r="C125" i="14"/>
  <c r="C117" i="14"/>
  <c r="C109" i="14"/>
  <c r="C101" i="14"/>
  <c r="C93" i="14"/>
  <c r="C77" i="14"/>
  <c r="C61" i="14"/>
  <c r="C53" i="14"/>
  <c r="C45" i="14"/>
  <c r="C37" i="14"/>
  <c r="C29" i="14"/>
  <c r="C13" i="14"/>
  <c r="C196" i="14"/>
  <c r="C188" i="14"/>
  <c r="C180" i="14"/>
  <c r="C172" i="14"/>
  <c r="C164" i="14"/>
  <c r="C156" i="14"/>
  <c r="C148" i="14"/>
  <c r="C140" i="14"/>
  <c r="C132" i="14"/>
  <c r="C124" i="14"/>
  <c r="C116" i="14"/>
  <c r="C108" i="14"/>
  <c r="C100" i="14"/>
  <c r="C92" i="14"/>
  <c r="C84" i="14"/>
  <c r="C76" i="14"/>
  <c r="C68" i="14"/>
  <c r="C60" i="14"/>
  <c r="C52" i="14"/>
  <c r="C44" i="14"/>
  <c r="C36" i="14"/>
  <c r="C28" i="14"/>
  <c r="C20" i="14"/>
  <c r="C12" i="14"/>
  <c r="C202" i="14"/>
  <c r="C194" i="14"/>
  <c r="C186" i="14"/>
  <c r="C178" i="14"/>
  <c r="C170" i="14"/>
  <c r="C162" i="14"/>
  <c r="C154" i="14"/>
  <c r="C146" i="14"/>
  <c r="C138" i="14"/>
  <c r="C130" i="14"/>
  <c r="C122" i="14"/>
  <c r="C114" i="14"/>
  <c r="C106" i="14"/>
  <c r="C98" i="14"/>
  <c r="C82" i="14"/>
  <c r="C66" i="14"/>
  <c r="C58" i="14"/>
  <c r="C50" i="14"/>
  <c r="C42" i="14"/>
  <c r="C34" i="14"/>
  <c r="C18" i="14"/>
  <c r="C10" i="14"/>
  <c r="C201" i="14"/>
  <c r="C193" i="14"/>
  <c r="C185" i="14"/>
  <c r="C177" i="14"/>
  <c r="C169" i="14"/>
  <c r="C161" i="14"/>
  <c r="C153" i="14"/>
  <c r="C145" i="14"/>
  <c r="C137" i="14"/>
  <c r="C129" i="14"/>
  <c r="C121" i="14"/>
  <c r="C113" i="14"/>
  <c r="C105" i="14"/>
  <c r="C97" i="14"/>
  <c r="C81" i="14"/>
  <c r="C65" i="14"/>
  <c r="C57" i="14"/>
  <c r="C49" i="14"/>
  <c r="C41" i="14"/>
  <c r="C33" i="14"/>
  <c r="C17" i="14"/>
  <c r="C200" i="14"/>
  <c r="C192" i="14"/>
  <c r="C184" i="14"/>
  <c r="C176" i="14"/>
  <c r="C168" i="14"/>
  <c r="C160" i="14"/>
  <c r="C152" i="14"/>
  <c r="C144" i="14"/>
  <c r="C136" i="14"/>
  <c r="C128" i="14"/>
  <c r="C120" i="14"/>
  <c r="C112" i="14"/>
  <c r="C104" i="14"/>
  <c r="C96" i="14"/>
  <c r="C80" i="14"/>
  <c r="C64" i="14"/>
  <c r="C56" i="14"/>
  <c r="C48" i="14"/>
  <c r="C40" i="14"/>
  <c r="C32" i="14"/>
  <c r="C16" i="14"/>
  <c r="C6" i="14"/>
  <c r="C9" i="14"/>
  <c r="C8" i="14"/>
  <c r="C7" i="14"/>
  <c r="C5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F87" i="14" l="1"/>
  <c r="C86" i="14"/>
  <c r="F23" i="14"/>
  <c r="C22" i="14"/>
  <c r="F71" i="14"/>
  <c r="C70" i="14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G19" i="7"/>
  <c r="H19" i="7" s="1"/>
  <c r="C19" i="7" s="1"/>
  <c r="G18" i="7"/>
  <c r="H18" i="7" s="1"/>
  <c r="C18" i="7" s="1"/>
  <c r="G17" i="7"/>
  <c r="H17" i="7" s="1"/>
  <c r="C17" i="7" s="1"/>
  <c r="G16" i="7"/>
  <c r="H16" i="7" s="1"/>
  <c r="C16" i="7" s="1"/>
  <c r="G15" i="7"/>
  <c r="H15" i="7" s="1"/>
  <c r="C15" i="7" s="1"/>
  <c r="G14" i="7"/>
  <c r="H14" i="7" s="1"/>
  <c r="C14" i="7" s="1"/>
  <c r="G13" i="7"/>
  <c r="H13" i="7" s="1"/>
  <c r="C13" i="7" s="1"/>
  <c r="G12" i="7"/>
  <c r="H12" i="7" s="1"/>
  <c r="C12" i="7" s="1"/>
  <c r="G5" i="7"/>
  <c r="H5" i="7" s="1"/>
  <c r="C5" i="7" s="1"/>
  <c r="G6" i="7"/>
  <c r="H6" i="7" s="1"/>
  <c r="C6" i="7" s="1"/>
  <c r="G7" i="7"/>
  <c r="H7" i="7" s="1"/>
  <c r="C7" i="7" s="1"/>
  <c r="G8" i="7"/>
  <c r="H8" i="7" s="1"/>
  <c r="C8" i="7" s="1"/>
  <c r="G9" i="7"/>
  <c r="H9" i="7" s="1"/>
  <c r="C9" i="7" s="1"/>
  <c r="G10" i="7"/>
  <c r="H10" i="7" s="1"/>
  <c r="C10" i="7" s="1"/>
  <c r="G11" i="7"/>
  <c r="H11" i="7" s="1"/>
  <c r="C11" i="7" s="1"/>
  <c r="G4" i="7"/>
  <c r="H4" i="7" s="1"/>
  <c r="C4" i="7" s="1"/>
  <c r="I8" i="4"/>
  <c r="I9" i="4"/>
  <c r="I10" i="4"/>
  <c r="I11" i="4"/>
  <c r="I12" i="4"/>
  <c r="I13" i="4"/>
  <c r="I14" i="4"/>
  <c r="I7" i="4"/>
  <c r="F72" i="14" l="1"/>
  <c r="C71" i="14"/>
  <c r="F24" i="14"/>
  <c r="C23" i="14"/>
  <c r="F88" i="14"/>
  <c r="C87" i="14"/>
  <c r="F89" i="14" l="1"/>
  <c r="C88" i="14"/>
  <c r="F25" i="14"/>
  <c r="C24" i="14"/>
  <c r="F73" i="14"/>
  <c r="C72" i="14"/>
  <c r="F90" i="14" l="1"/>
  <c r="C89" i="14"/>
  <c r="F74" i="14"/>
  <c r="C73" i="14"/>
  <c r="F26" i="14"/>
  <c r="C25" i="14"/>
  <c r="F27" i="14" l="1"/>
  <c r="C27" i="14" s="1"/>
  <c r="C26" i="14"/>
  <c r="F75" i="14"/>
  <c r="C75" i="14" s="1"/>
  <c r="C74" i="14"/>
  <c r="F91" i="14"/>
  <c r="C91" i="14" s="1"/>
  <c r="C90" i="14"/>
</calcChain>
</file>

<file path=xl/sharedStrings.xml><?xml version="1.0" encoding="utf-8"?>
<sst xmlns="http://schemas.openxmlformats.org/spreadsheetml/2006/main" count="1385" uniqueCount="162">
  <si>
    <t>SteelProductionPlants</t>
  </si>
  <si>
    <t>BF-BOF</t>
  </si>
  <si>
    <t>Period</t>
  </si>
  <si>
    <t>SteelPlant</t>
  </si>
  <si>
    <t>FuelConsumption</t>
  </si>
  <si>
    <t>Source: European Parliament (2021), Carbon-free steel production: Cost reduction options and usage of existing gas infrastructure</t>
  </si>
  <si>
    <t>Node</t>
  </si>
  <si>
    <t>Production</t>
  </si>
  <si>
    <t>Germany</t>
  </si>
  <si>
    <t>Italy</t>
  </si>
  <si>
    <t>France</t>
  </si>
  <si>
    <t>Spain</t>
  </si>
  <si>
    <t>Poland</t>
  </si>
  <si>
    <t>Belgium</t>
  </si>
  <si>
    <t>Austria</t>
  </si>
  <si>
    <t>Netherlands</t>
  </si>
  <si>
    <t>Sweden</t>
  </si>
  <si>
    <t>CzechR</t>
  </si>
  <si>
    <t>GreatBrit.</t>
  </si>
  <si>
    <t>Slovakia</t>
  </si>
  <si>
    <t>Finland</t>
  </si>
  <si>
    <t>Romania</t>
  </si>
  <si>
    <t>Luxemb.</t>
  </si>
  <si>
    <t>Hungary</t>
  </si>
  <si>
    <t>Greece</t>
  </si>
  <si>
    <t>Bulgaria</t>
  </si>
  <si>
    <t>Slovenia</t>
  </si>
  <si>
    <t>Croatia</t>
  </si>
  <si>
    <t>Source: Figure 1 in European Parliament (2021), Carbon-free steel production: Cost reduction options and usage of existing gas infrastructure. Grows in line with SDS in Figure 2.2 in IEA (2020) Iron and Steel Technology Roadmap</t>
  </si>
  <si>
    <t>From Figure 2.2 in IEA:</t>
  </si>
  <si>
    <t>Global demand (GT/yr)</t>
  </si>
  <si>
    <t>Increase</t>
  </si>
  <si>
    <t>CementProductionPlants</t>
  </si>
  <si>
    <t>NG-Cement</t>
  </si>
  <si>
    <t>H2-Cement</t>
  </si>
  <si>
    <t>CementPlant</t>
  </si>
  <si>
    <t>Source: Table 2 in IEA (2018) Low-Carbon Transition in the Cement Industry</t>
  </si>
  <si>
    <t>Thermal energy (GJ/t clinker)</t>
  </si>
  <si>
    <t>Clinker to cement ratio</t>
  </si>
  <si>
    <t>Thermal energy (GJ/t cement)</t>
  </si>
  <si>
    <t>Fuel</t>
  </si>
  <si>
    <t>Natural gas</t>
  </si>
  <si>
    <t>Hydrogen</t>
  </si>
  <si>
    <t>LHV (MJ/kg)</t>
  </si>
  <si>
    <t>ElectricityConsumption</t>
  </si>
  <si>
    <t>Source: Table 3 in 2016 Minerals Yearbook by USGS. Assume flat production level into the future</t>
  </si>
  <si>
    <t>Estonia</t>
  </si>
  <si>
    <t>Ireland</t>
  </si>
  <si>
    <t>Latvia</t>
  </si>
  <si>
    <t>Lithuania</t>
  </si>
  <si>
    <t>Macedonia</t>
  </si>
  <si>
    <t>Portugal</t>
  </si>
  <si>
    <t>Serbia</t>
  </si>
  <si>
    <t>Switzerland</t>
  </si>
  <si>
    <t>BosniaH</t>
  </si>
  <si>
    <t>Denmark</t>
  </si>
  <si>
    <t>NO1</t>
  </si>
  <si>
    <t>NO2</t>
  </si>
  <si>
    <t>NO3</t>
  </si>
  <si>
    <t>NO4</t>
  </si>
  <si>
    <t>NO5</t>
  </si>
  <si>
    <t>Description: Yearly production of cement (tons / year) (default: 0)</t>
  </si>
  <si>
    <t>Description: Fuel consumption (MWh / ton cement) (default: 99999)</t>
  </si>
  <si>
    <t>Description: Fuel consumption (kg fuel / ton cement) (default: 99999)</t>
  </si>
  <si>
    <t>Description: Yearly crude steel production (tons crude steel) (default: 0)</t>
  </si>
  <si>
    <t>Description: Electricity consumption (MWh / ton crude steel) (default: 99999)</t>
  </si>
  <si>
    <t>Description: Fuel consumption (kg fuel / ton crude steel) (default: 99999)</t>
  </si>
  <si>
    <t>AmmoniaProductionPlants</t>
  </si>
  <si>
    <t>Description: Consumption of feestock gas (kg feedstock / t ammonia)</t>
  </si>
  <si>
    <t>NG-Ammonia</t>
  </si>
  <si>
    <t>H2-Ammonia</t>
  </si>
  <si>
    <t>Source: Natural gas based: 36 MMbtu / t from https://www.yara.com/investor-relations/analyst-information/calculators/ammonia-and-urea-cash-cost/. Hydrogen based: Rivarolo et al. (2019) Clean Hydrogen and Ammonia Synthesis in Paraguay from the Itaipu 14 GW Hydroelectric Plant</t>
  </si>
  <si>
    <t>Description: Electricity consumption (MWh / t ammonia)</t>
  </si>
  <si>
    <t>Source: IEA (2019) The Future of Hydrogen Data and Assumptions</t>
  </si>
  <si>
    <t>Description: Hydrogen consumed per barrel of oil (kg / bbl) (default: 99999)</t>
  </si>
  <si>
    <t>Description: Heat consumption per barrel of oil refined (kWh/bbl) (default: 99999)</t>
  </si>
  <si>
    <t>Yearly production of oil (bbl/yr)</t>
  </si>
  <si>
    <t>Scaling</t>
  </si>
  <si>
    <t>Source: Scaled up capacity to as if the refineries were running 24/7. Source for daily capacity: https://www.mckinseyenergyinsights.com/resources/refinery-reference-desk/european-refineries/. Then scaled for actual production vs capacity based on numbers for 2020 in Table A.10 in IEA World Energy Outlook 2021</t>
  </si>
  <si>
    <t>Capacity in 2020</t>
  </si>
  <si>
    <t>Description: Yearly production of refined oil (bbl) (default: 0)</t>
  </si>
  <si>
    <t>Description: Yearly production of ammonia (tons/yr) (default: 0)</t>
  </si>
  <si>
    <t>Ammonia plant</t>
  </si>
  <si>
    <t>Electricity consumption (MWh / t ammonia)</t>
  </si>
  <si>
    <t>Ammonia Plant</t>
  </si>
  <si>
    <t>Feedstock Consumption (kg feedstock / t ammonia)</t>
  </si>
  <si>
    <t>Hydrogen consumption (kg/bbl)</t>
  </si>
  <si>
    <t>Hydrogen consumption (ton/bbl)</t>
  </si>
  <si>
    <t>Heat Consumption (kWh/bbl)</t>
  </si>
  <si>
    <t>Yearly production (tons/yr)</t>
  </si>
  <si>
    <t>Production (kt/yr)</t>
  </si>
  <si>
    <t>Production (ton/yr)</t>
  </si>
  <si>
    <t>Yearly production (kt/yr)</t>
  </si>
  <si>
    <t>Description: CO2 emissions other than direct fuel use (ton CO2 / ton crude steel) (default: 99999)</t>
  </si>
  <si>
    <t>Source: Summary of findings from HYBRIT Pre-Feasibility Study 2016–2017</t>
  </si>
  <si>
    <t>BF-BOF-BioCarbon</t>
  </si>
  <si>
    <t>Description: Fuel consumption (GJ fuel / ton crude steel) (default: 99999)</t>
  </si>
  <si>
    <t>CO2 emissions (ton CO2/ton crude steel)</t>
  </si>
  <si>
    <t>PlantType</t>
  </si>
  <si>
    <t>Source: Assumed linear phase-out until 2040</t>
  </si>
  <si>
    <t>RetirementFactor</t>
  </si>
  <si>
    <t>Description: The share of capacity that has retired compared to the initial period (default 0, no retirement)</t>
  </si>
  <si>
    <t>Source: BCG (2013), "Steel's contribution to a low-carbon Europe 2050"</t>
  </si>
  <si>
    <t>InvCost (eur/(t/h) crude steel)</t>
  </si>
  <si>
    <t>Description: Investment cost for new steel production capacity (EUR / ton/h crude steel)</t>
  </si>
  <si>
    <t>VarOpex (eur/(t/h) crude steel)</t>
  </si>
  <si>
    <t>Description: Variable operational cost for steel production (EUR / ton/h crude steel)</t>
  </si>
  <si>
    <t>Source: IEA 2020, Iron and Steel Technology Roadmap, Figure 1.3</t>
  </si>
  <si>
    <t>Description: Fixed O&amp;M for steel plants (EUR / ton/h crude steel capacity)</t>
  </si>
  <si>
    <t>Source: Assume everything is based on natural gas</t>
  </si>
  <si>
    <t>Description: Initial capacity of cement production (default:0)</t>
  </si>
  <si>
    <t>Capacity (ton/hr)</t>
  </si>
  <si>
    <t>InvCost (EUR/(ton/hr))</t>
  </si>
  <si>
    <t>Description: Investment cost for new cement production capacity</t>
  </si>
  <si>
    <t>Source: IEA ETSAP 2010 Brief: "Cement Production". Assume hydrogen production method same cost as natural gas-based</t>
  </si>
  <si>
    <t>Description: Fixed O&amp;M for cement plants</t>
  </si>
  <si>
    <t>263 EUR in 2010 = 296.66 EUR in 2020</t>
  </si>
  <si>
    <t>AmmoniaPlant</t>
  </si>
  <si>
    <t xml:space="preserve">Source: Natural gas based: IEAGHG 2017 Techno-economic evaluation of hyco plant integrated to ammonia/urea or methanol production with CCS. Hydrogen based: </t>
  </si>
  <si>
    <t>kg H2/ton NH3</t>
  </si>
  <si>
    <t>Hydrogen consumption</t>
  </si>
  <si>
    <t>SMR CAPEX</t>
  </si>
  <si>
    <t>EUR / kW H2</t>
  </si>
  <si>
    <t>Hydrogen LHV</t>
  </si>
  <si>
    <t>kWh / kg</t>
  </si>
  <si>
    <t>SMR CAPEX (per ton/hr NH3 capacity)</t>
  </si>
  <si>
    <t>Source: Assume 1.5% of investment cost</t>
  </si>
  <si>
    <t>Description: Fixed O&amp;M for ammonia plants</t>
  </si>
  <si>
    <t>Fixed O&amp;M (EUR/(ton/hr))</t>
  </si>
  <si>
    <t>Hydrogen consumption (ton/k bbl)</t>
  </si>
  <si>
    <t>Heat Consumption (MWh/k bbl)</t>
  </si>
  <si>
    <t>Yearly production of oil (k bbl/yr)</t>
  </si>
  <si>
    <t>Description: Initial capacity of steel production (ton/hr) (default: 0)</t>
  </si>
  <si>
    <t>Initial capacity (ton/hr)</t>
  </si>
  <si>
    <t>H2-DRI</t>
  </si>
  <si>
    <t>EAF</t>
  </si>
  <si>
    <t>Scrap</t>
  </si>
  <si>
    <t xml:space="preserve">Source: Eurofer (2019) Map of EU steel production sites, Accessed 22.05.2023 https://www.eurofer.eu/assets/Uploads/Map-20191113_Eurofer_SteelIndustry_Rev3-has-stainless.pdf </t>
  </si>
  <si>
    <t>Initial capacity (kton/yr)</t>
  </si>
  <si>
    <t>InvCost (eur/(t/y) crude steel)</t>
  </si>
  <si>
    <t>InvCost (EUR/(ton/yr))</t>
  </si>
  <si>
    <t>NG-CCS-Cement</t>
  </si>
  <si>
    <t>Scaling from IEA ETSAP 2010 Brief: "Cement Production".</t>
  </si>
  <si>
    <t>Source: IEA ETSAP 2010 Brief: "Cement Production".</t>
  </si>
  <si>
    <t>BF-BOF-CCS</t>
  </si>
  <si>
    <t>CO2 captured (ton CO2/ton crude steel)</t>
  </si>
  <si>
    <t>Coal Consumption</t>
  </si>
  <si>
    <t>Hydrogen Consumption</t>
  </si>
  <si>
    <t>Numbers used for ratio calculation from IEAGHG (2013), Iron and steel CCS study (techno-economics integrated steel mill)</t>
  </si>
  <si>
    <t>Description: CO2 capture rate of cement plants, default: 0</t>
  </si>
  <si>
    <t>Description: CO2 captured for each steel plant type (default: 0)</t>
  </si>
  <si>
    <t>CaptureRate</t>
  </si>
  <si>
    <t>Source: Table 3 in Table 3 in A Study on Composition and Drivers of Energy Prices and Costs In Energy Intensive Industries: The Case of The Chemical Industry - Ammonia</t>
  </si>
  <si>
    <t>Source: IEAGHG (2013), Iron and steel CCS study (techno-economics integrated steel mill)</t>
  </si>
  <si>
    <t>Source: Assumed</t>
  </si>
  <si>
    <t>Source: Hydrogen Generation for Refineries (2014) by TDA Research, average for Middle Eastern oil</t>
  </si>
  <si>
    <t>InvCost (eur/(t/yr) crude steel)</t>
  </si>
  <si>
    <t>Coal Consumption (kWh / ton crude steel)</t>
  </si>
  <si>
    <t>Steel plant new (euro / t/yr)</t>
  </si>
  <si>
    <t>Steel plant new with CCS(euro / t/yr)</t>
  </si>
  <si>
    <t>Steel plant BF-BOF retrofit with CCS</t>
  </si>
  <si>
    <t>CCS capture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</si>
</sst>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2">
    <cellStyle name="Normal" xfId="0" builtinId="0"/>
    <cellStyle name="Normal 6" xfId="1" xr:uid="{2DECDEA0-ECBF-9E46-803A-1BDD6EAB75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7CF09-44A7-2449-898E-8CF5CFB4BA19}">
  <dimension ref="A1:A7"/>
  <sheetViews>
    <sheetView workbookViewId="0">
      <selection activeCell="A7" sqref="A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95</v>
      </c>
    </row>
    <row r="4" spans="1:1" x14ac:dyDescent="0.2">
      <c r="A4" t="s">
        <v>134</v>
      </c>
    </row>
    <row r="5" spans="1:1" x14ac:dyDescent="0.2">
      <c r="A5" t="s">
        <v>135</v>
      </c>
    </row>
    <row r="6" spans="1:1" x14ac:dyDescent="0.2">
      <c r="A6" t="s">
        <v>136</v>
      </c>
    </row>
    <row r="7" spans="1:1" x14ac:dyDescent="0.2">
      <c r="A7" t="s">
        <v>144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6726-DB47-CD41-83E3-FE53549F4538}">
  <dimension ref="A1:C51"/>
  <sheetViews>
    <sheetView topLeftCell="A29" workbookViewId="0">
      <selection activeCell="C1" sqref="C1"/>
    </sheetView>
  </sheetViews>
  <sheetFormatPr baseColWidth="10" defaultRowHeight="16" x14ac:dyDescent="0.2"/>
  <sheetData>
    <row r="1" spans="1:3" x14ac:dyDescent="0.2">
      <c r="A1" t="s">
        <v>94</v>
      </c>
    </row>
    <row r="2" spans="1:3" x14ac:dyDescent="0.2">
      <c r="A2" t="s">
        <v>96</v>
      </c>
    </row>
    <row r="3" spans="1:3" x14ac:dyDescent="0.2">
      <c r="A3" t="s">
        <v>3</v>
      </c>
      <c r="B3" t="s">
        <v>2</v>
      </c>
      <c r="C3" t="s">
        <v>4</v>
      </c>
    </row>
    <row r="4" spans="1:3" x14ac:dyDescent="0.2">
      <c r="A4" t="s">
        <v>1</v>
      </c>
      <c r="B4">
        <v>1</v>
      </c>
      <c r="C4">
        <f>81*3.6/1000</f>
        <v>0.29160000000000003</v>
      </c>
    </row>
    <row r="5" spans="1:3" x14ac:dyDescent="0.2">
      <c r="A5" t="s">
        <v>1</v>
      </c>
      <c r="B5">
        <v>2</v>
      </c>
      <c r="C5">
        <f t="shared" ref="C5:C11" si="0">81*3.6/1000</f>
        <v>0.29160000000000003</v>
      </c>
    </row>
    <row r="6" spans="1:3" x14ac:dyDescent="0.2">
      <c r="A6" t="s">
        <v>1</v>
      </c>
      <c r="B6">
        <v>3</v>
      </c>
      <c r="C6">
        <f t="shared" si="0"/>
        <v>0.29160000000000003</v>
      </c>
    </row>
    <row r="7" spans="1:3" x14ac:dyDescent="0.2">
      <c r="A7" t="s">
        <v>1</v>
      </c>
      <c r="B7">
        <v>4</v>
      </c>
      <c r="C7">
        <f t="shared" si="0"/>
        <v>0.29160000000000003</v>
      </c>
    </row>
    <row r="8" spans="1:3" x14ac:dyDescent="0.2">
      <c r="A8" t="s">
        <v>1</v>
      </c>
      <c r="B8">
        <v>5</v>
      </c>
      <c r="C8">
        <f t="shared" si="0"/>
        <v>0.29160000000000003</v>
      </c>
    </row>
    <row r="9" spans="1:3" x14ac:dyDescent="0.2">
      <c r="A9" t="s">
        <v>1</v>
      </c>
      <c r="B9">
        <v>6</v>
      </c>
      <c r="C9">
        <f t="shared" si="0"/>
        <v>0.29160000000000003</v>
      </c>
    </row>
    <row r="10" spans="1:3" x14ac:dyDescent="0.2">
      <c r="A10" t="s">
        <v>1</v>
      </c>
      <c r="B10">
        <v>7</v>
      </c>
      <c r="C10">
        <f t="shared" si="0"/>
        <v>0.29160000000000003</v>
      </c>
    </row>
    <row r="11" spans="1:3" x14ac:dyDescent="0.2">
      <c r="A11" t="s">
        <v>1</v>
      </c>
      <c r="B11">
        <v>8</v>
      </c>
      <c r="C11">
        <f t="shared" si="0"/>
        <v>0.29160000000000003</v>
      </c>
    </row>
    <row r="12" spans="1:3" x14ac:dyDescent="0.2">
      <c r="A12" t="s">
        <v>95</v>
      </c>
      <c r="B12">
        <v>1</v>
      </c>
      <c r="C12">
        <v>0</v>
      </c>
    </row>
    <row r="13" spans="1:3" x14ac:dyDescent="0.2">
      <c r="A13" t="s">
        <v>95</v>
      </c>
      <c r="B13">
        <v>2</v>
      </c>
      <c r="C13">
        <v>0</v>
      </c>
    </row>
    <row r="14" spans="1:3" x14ac:dyDescent="0.2">
      <c r="A14" t="s">
        <v>95</v>
      </c>
      <c r="B14">
        <v>3</v>
      </c>
      <c r="C14">
        <v>0</v>
      </c>
    </row>
    <row r="15" spans="1:3" x14ac:dyDescent="0.2">
      <c r="A15" t="s">
        <v>95</v>
      </c>
      <c r="B15">
        <v>4</v>
      </c>
      <c r="C15">
        <v>0</v>
      </c>
    </row>
    <row r="16" spans="1:3" x14ac:dyDescent="0.2">
      <c r="A16" t="s">
        <v>95</v>
      </c>
      <c r="B16">
        <v>5</v>
      </c>
      <c r="C16">
        <v>0</v>
      </c>
    </row>
    <row r="17" spans="1:3" x14ac:dyDescent="0.2">
      <c r="A17" t="s">
        <v>95</v>
      </c>
      <c r="B17">
        <v>6</v>
      </c>
      <c r="C17">
        <v>0</v>
      </c>
    </row>
    <row r="18" spans="1:3" x14ac:dyDescent="0.2">
      <c r="A18" t="s">
        <v>95</v>
      </c>
      <c r="B18">
        <v>7</v>
      </c>
      <c r="C18">
        <v>0</v>
      </c>
    </row>
    <row r="19" spans="1:3" x14ac:dyDescent="0.2">
      <c r="A19" t="s">
        <v>95</v>
      </c>
      <c r="B19">
        <v>8</v>
      </c>
      <c r="C19">
        <v>0</v>
      </c>
    </row>
    <row r="20" spans="1:3" x14ac:dyDescent="0.2">
      <c r="A20" t="s">
        <v>134</v>
      </c>
      <c r="B20">
        <v>1</v>
      </c>
      <c r="C20" s="1">
        <v>0</v>
      </c>
    </row>
    <row r="21" spans="1:3" x14ac:dyDescent="0.2">
      <c r="A21" t="s">
        <v>134</v>
      </c>
      <c r="B21">
        <v>2</v>
      </c>
      <c r="C21" s="1">
        <v>0</v>
      </c>
    </row>
    <row r="22" spans="1:3" x14ac:dyDescent="0.2">
      <c r="A22" t="s">
        <v>134</v>
      </c>
      <c r="B22">
        <v>3</v>
      </c>
      <c r="C22" s="1">
        <v>0</v>
      </c>
    </row>
    <row r="23" spans="1:3" x14ac:dyDescent="0.2">
      <c r="A23" t="s">
        <v>134</v>
      </c>
      <c r="B23">
        <v>4</v>
      </c>
      <c r="C23" s="1">
        <v>0</v>
      </c>
    </row>
    <row r="24" spans="1:3" x14ac:dyDescent="0.2">
      <c r="A24" t="s">
        <v>134</v>
      </c>
      <c r="B24">
        <v>5</v>
      </c>
      <c r="C24" s="1">
        <v>0</v>
      </c>
    </row>
    <row r="25" spans="1:3" x14ac:dyDescent="0.2">
      <c r="A25" t="s">
        <v>134</v>
      </c>
      <c r="B25">
        <v>6</v>
      </c>
      <c r="C25" s="1">
        <v>0</v>
      </c>
    </row>
    <row r="26" spans="1:3" x14ac:dyDescent="0.2">
      <c r="A26" t="s">
        <v>134</v>
      </c>
      <c r="B26">
        <v>7</v>
      </c>
      <c r="C26" s="1">
        <v>0</v>
      </c>
    </row>
    <row r="27" spans="1:3" x14ac:dyDescent="0.2">
      <c r="A27" t="s">
        <v>134</v>
      </c>
      <c r="B27">
        <v>8</v>
      </c>
      <c r="C27" s="1">
        <v>0</v>
      </c>
    </row>
    <row r="28" spans="1:3" x14ac:dyDescent="0.2">
      <c r="A28" t="s">
        <v>135</v>
      </c>
      <c r="B28">
        <v>1</v>
      </c>
      <c r="C28" s="1">
        <v>0</v>
      </c>
    </row>
    <row r="29" spans="1:3" x14ac:dyDescent="0.2">
      <c r="A29" t="s">
        <v>135</v>
      </c>
      <c r="B29">
        <v>2</v>
      </c>
      <c r="C29" s="1">
        <v>0</v>
      </c>
    </row>
    <row r="30" spans="1:3" x14ac:dyDescent="0.2">
      <c r="A30" t="s">
        <v>135</v>
      </c>
      <c r="B30">
        <v>3</v>
      </c>
      <c r="C30" s="1">
        <v>0</v>
      </c>
    </row>
    <row r="31" spans="1:3" x14ac:dyDescent="0.2">
      <c r="A31" t="s">
        <v>135</v>
      </c>
      <c r="B31">
        <v>4</v>
      </c>
      <c r="C31" s="1">
        <v>0</v>
      </c>
    </row>
    <row r="32" spans="1:3" x14ac:dyDescent="0.2">
      <c r="A32" t="s">
        <v>135</v>
      </c>
      <c r="B32">
        <v>5</v>
      </c>
      <c r="C32" s="1">
        <v>0</v>
      </c>
    </row>
    <row r="33" spans="1:3" x14ac:dyDescent="0.2">
      <c r="A33" t="s">
        <v>135</v>
      </c>
      <c r="B33">
        <v>6</v>
      </c>
      <c r="C33" s="1">
        <v>0</v>
      </c>
    </row>
    <row r="34" spans="1:3" x14ac:dyDescent="0.2">
      <c r="A34" t="s">
        <v>135</v>
      </c>
      <c r="B34">
        <v>7</v>
      </c>
      <c r="C34" s="1">
        <v>0</v>
      </c>
    </row>
    <row r="35" spans="1:3" x14ac:dyDescent="0.2">
      <c r="A35" t="s">
        <v>135</v>
      </c>
      <c r="B35">
        <v>8</v>
      </c>
      <c r="C35" s="1">
        <v>0</v>
      </c>
    </row>
    <row r="36" spans="1:3" x14ac:dyDescent="0.2">
      <c r="A36" t="s">
        <v>136</v>
      </c>
      <c r="B36">
        <v>1</v>
      </c>
      <c r="C36">
        <v>0</v>
      </c>
    </row>
    <row r="37" spans="1:3" x14ac:dyDescent="0.2">
      <c r="A37" t="s">
        <v>136</v>
      </c>
      <c r="B37">
        <v>2</v>
      </c>
      <c r="C37">
        <v>0</v>
      </c>
    </row>
    <row r="38" spans="1:3" x14ac:dyDescent="0.2">
      <c r="A38" t="s">
        <v>136</v>
      </c>
      <c r="B38">
        <v>3</v>
      </c>
      <c r="C38">
        <v>0</v>
      </c>
    </row>
    <row r="39" spans="1:3" x14ac:dyDescent="0.2">
      <c r="A39" t="s">
        <v>136</v>
      </c>
      <c r="B39">
        <v>4</v>
      </c>
      <c r="C39">
        <v>0</v>
      </c>
    </row>
    <row r="40" spans="1:3" x14ac:dyDescent="0.2">
      <c r="A40" t="s">
        <v>136</v>
      </c>
      <c r="B40">
        <v>5</v>
      </c>
      <c r="C40">
        <v>0</v>
      </c>
    </row>
    <row r="41" spans="1:3" x14ac:dyDescent="0.2">
      <c r="A41" t="s">
        <v>136</v>
      </c>
      <c r="B41">
        <v>6</v>
      </c>
      <c r="C41">
        <v>0</v>
      </c>
    </row>
    <row r="42" spans="1:3" x14ac:dyDescent="0.2">
      <c r="A42" t="s">
        <v>136</v>
      </c>
      <c r="B42">
        <v>7</v>
      </c>
      <c r="C42">
        <v>0</v>
      </c>
    </row>
    <row r="43" spans="1:3" x14ac:dyDescent="0.2">
      <c r="A43" t="s">
        <v>136</v>
      </c>
      <c r="B43">
        <v>8</v>
      </c>
      <c r="C43">
        <v>0</v>
      </c>
    </row>
    <row r="44" spans="1:3" x14ac:dyDescent="0.2">
      <c r="A44" t="s">
        <v>144</v>
      </c>
      <c r="B44">
        <v>1</v>
      </c>
      <c r="C44">
        <f>C4</f>
        <v>0.29160000000000003</v>
      </c>
    </row>
    <row r="45" spans="1:3" x14ac:dyDescent="0.2">
      <c r="A45" t="s">
        <v>144</v>
      </c>
      <c r="B45">
        <v>2</v>
      </c>
      <c r="C45">
        <f t="shared" ref="C45:C51" si="1">C5</f>
        <v>0.29160000000000003</v>
      </c>
    </row>
    <row r="46" spans="1:3" x14ac:dyDescent="0.2">
      <c r="A46" t="s">
        <v>144</v>
      </c>
      <c r="B46">
        <v>3</v>
      </c>
      <c r="C46">
        <f t="shared" si="1"/>
        <v>0.29160000000000003</v>
      </c>
    </row>
    <row r="47" spans="1:3" x14ac:dyDescent="0.2">
      <c r="A47" t="s">
        <v>144</v>
      </c>
      <c r="B47">
        <v>4</v>
      </c>
      <c r="C47">
        <f t="shared" si="1"/>
        <v>0.29160000000000003</v>
      </c>
    </row>
    <row r="48" spans="1:3" x14ac:dyDescent="0.2">
      <c r="A48" t="s">
        <v>144</v>
      </c>
      <c r="B48">
        <v>5</v>
      </c>
      <c r="C48">
        <f t="shared" si="1"/>
        <v>0.29160000000000003</v>
      </c>
    </row>
    <row r="49" spans="1:3" x14ac:dyDescent="0.2">
      <c r="A49" t="s">
        <v>144</v>
      </c>
      <c r="B49">
        <v>6</v>
      </c>
      <c r="C49">
        <f t="shared" si="1"/>
        <v>0.29160000000000003</v>
      </c>
    </row>
    <row r="50" spans="1:3" x14ac:dyDescent="0.2">
      <c r="A50" t="s">
        <v>144</v>
      </c>
      <c r="B50">
        <v>7</v>
      </c>
      <c r="C50">
        <f t="shared" si="1"/>
        <v>0.29160000000000003</v>
      </c>
    </row>
    <row r="51" spans="1:3" x14ac:dyDescent="0.2">
      <c r="A51" t="s">
        <v>144</v>
      </c>
      <c r="B51">
        <v>8</v>
      </c>
      <c r="C51">
        <f t="shared" si="1"/>
        <v>0.29160000000000003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B752-EB68-0E43-BDD2-98FB81CF00EF}">
  <dimension ref="A1:C51"/>
  <sheetViews>
    <sheetView workbookViewId="0"/>
  </sheetViews>
  <sheetFormatPr baseColWidth="10" defaultRowHeight="16" x14ac:dyDescent="0.2"/>
  <sheetData>
    <row r="1" spans="1:3" x14ac:dyDescent="0.2">
      <c r="A1" t="s">
        <v>94</v>
      </c>
    </row>
    <row r="2" spans="1:3" x14ac:dyDescent="0.2">
      <c r="A2" t="s">
        <v>65</v>
      </c>
    </row>
    <row r="3" spans="1:3" x14ac:dyDescent="0.2">
      <c r="A3" t="s">
        <v>3</v>
      </c>
      <c r="B3" t="s">
        <v>2</v>
      </c>
      <c r="C3" t="s">
        <v>44</v>
      </c>
    </row>
    <row r="4" spans="1:3" x14ac:dyDescent="0.2">
      <c r="A4" t="s">
        <v>1</v>
      </c>
      <c r="B4">
        <v>1</v>
      </c>
      <c r="C4">
        <f>235/1000</f>
        <v>0.23499999999999999</v>
      </c>
    </row>
    <row r="5" spans="1:3" x14ac:dyDescent="0.2">
      <c r="A5" t="s">
        <v>1</v>
      </c>
      <c r="B5">
        <v>2</v>
      </c>
      <c r="C5">
        <f t="shared" ref="C5:C19" si="0">235/1000</f>
        <v>0.23499999999999999</v>
      </c>
    </row>
    <row r="6" spans="1:3" x14ac:dyDescent="0.2">
      <c r="A6" t="s">
        <v>1</v>
      </c>
      <c r="B6">
        <v>3</v>
      </c>
      <c r="C6">
        <f t="shared" si="0"/>
        <v>0.23499999999999999</v>
      </c>
    </row>
    <row r="7" spans="1:3" x14ac:dyDescent="0.2">
      <c r="A7" t="s">
        <v>1</v>
      </c>
      <c r="B7">
        <v>4</v>
      </c>
      <c r="C7">
        <f t="shared" si="0"/>
        <v>0.23499999999999999</v>
      </c>
    </row>
    <row r="8" spans="1:3" x14ac:dyDescent="0.2">
      <c r="A8" t="s">
        <v>1</v>
      </c>
      <c r="B8">
        <v>5</v>
      </c>
      <c r="C8">
        <f t="shared" si="0"/>
        <v>0.23499999999999999</v>
      </c>
    </row>
    <row r="9" spans="1:3" x14ac:dyDescent="0.2">
      <c r="A9" t="s">
        <v>1</v>
      </c>
      <c r="B9">
        <v>6</v>
      </c>
      <c r="C9">
        <f t="shared" si="0"/>
        <v>0.23499999999999999</v>
      </c>
    </row>
    <row r="10" spans="1:3" x14ac:dyDescent="0.2">
      <c r="A10" t="s">
        <v>1</v>
      </c>
      <c r="B10">
        <v>7</v>
      </c>
      <c r="C10">
        <f t="shared" si="0"/>
        <v>0.23499999999999999</v>
      </c>
    </row>
    <row r="11" spans="1:3" x14ac:dyDescent="0.2">
      <c r="A11" t="s">
        <v>1</v>
      </c>
      <c r="B11">
        <v>8</v>
      </c>
      <c r="C11">
        <f t="shared" si="0"/>
        <v>0.23499999999999999</v>
      </c>
    </row>
    <row r="12" spans="1:3" x14ac:dyDescent="0.2">
      <c r="A12" t="s">
        <v>95</v>
      </c>
      <c r="B12">
        <v>1</v>
      </c>
      <c r="C12">
        <f t="shared" si="0"/>
        <v>0.23499999999999999</v>
      </c>
    </row>
    <row r="13" spans="1:3" x14ac:dyDescent="0.2">
      <c r="A13" t="s">
        <v>95</v>
      </c>
      <c r="B13">
        <v>2</v>
      </c>
      <c r="C13">
        <f t="shared" si="0"/>
        <v>0.23499999999999999</v>
      </c>
    </row>
    <row r="14" spans="1:3" x14ac:dyDescent="0.2">
      <c r="A14" t="s">
        <v>95</v>
      </c>
      <c r="B14">
        <v>3</v>
      </c>
      <c r="C14">
        <f t="shared" si="0"/>
        <v>0.23499999999999999</v>
      </c>
    </row>
    <row r="15" spans="1:3" x14ac:dyDescent="0.2">
      <c r="A15" t="s">
        <v>95</v>
      </c>
      <c r="B15">
        <v>4</v>
      </c>
      <c r="C15">
        <f t="shared" si="0"/>
        <v>0.23499999999999999</v>
      </c>
    </row>
    <row r="16" spans="1:3" x14ac:dyDescent="0.2">
      <c r="A16" t="s">
        <v>95</v>
      </c>
      <c r="B16">
        <v>5</v>
      </c>
      <c r="C16">
        <f t="shared" si="0"/>
        <v>0.23499999999999999</v>
      </c>
    </row>
    <row r="17" spans="1:3" x14ac:dyDescent="0.2">
      <c r="A17" t="s">
        <v>95</v>
      </c>
      <c r="B17">
        <v>6</v>
      </c>
      <c r="C17">
        <f t="shared" si="0"/>
        <v>0.23499999999999999</v>
      </c>
    </row>
    <row r="18" spans="1:3" x14ac:dyDescent="0.2">
      <c r="A18" t="s">
        <v>95</v>
      </c>
      <c r="B18">
        <v>7</v>
      </c>
      <c r="C18">
        <f t="shared" si="0"/>
        <v>0.23499999999999999</v>
      </c>
    </row>
    <row r="19" spans="1:3" x14ac:dyDescent="0.2">
      <c r="A19" t="s">
        <v>95</v>
      </c>
      <c r="B19">
        <v>8</v>
      </c>
      <c r="C19">
        <f t="shared" si="0"/>
        <v>0.23499999999999999</v>
      </c>
    </row>
    <row r="20" spans="1:3" x14ac:dyDescent="0.2">
      <c r="A20" t="s">
        <v>134</v>
      </c>
      <c r="B20">
        <v>1</v>
      </c>
      <c r="C20" s="1">
        <f>(3488-2633-494)/1000</f>
        <v>0.36099999999999999</v>
      </c>
    </row>
    <row r="21" spans="1:3" x14ac:dyDescent="0.2">
      <c r="A21" t="s">
        <v>134</v>
      </c>
      <c r="B21">
        <v>2</v>
      </c>
      <c r="C21" s="1">
        <f t="shared" ref="C21:C27" si="1">(3488-2633-494)/1000</f>
        <v>0.36099999999999999</v>
      </c>
    </row>
    <row r="22" spans="1:3" x14ac:dyDescent="0.2">
      <c r="A22" t="s">
        <v>134</v>
      </c>
      <c r="B22">
        <v>3</v>
      </c>
      <c r="C22" s="1">
        <f t="shared" si="1"/>
        <v>0.36099999999999999</v>
      </c>
    </row>
    <row r="23" spans="1:3" x14ac:dyDescent="0.2">
      <c r="A23" t="s">
        <v>134</v>
      </c>
      <c r="B23">
        <v>4</v>
      </c>
      <c r="C23" s="1">
        <f t="shared" si="1"/>
        <v>0.36099999999999999</v>
      </c>
    </row>
    <row r="24" spans="1:3" x14ac:dyDescent="0.2">
      <c r="A24" t="s">
        <v>134</v>
      </c>
      <c r="B24">
        <v>5</v>
      </c>
      <c r="C24" s="1">
        <f t="shared" si="1"/>
        <v>0.36099999999999999</v>
      </c>
    </row>
    <row r="25" spans="1:3" x14ac:dyDescent="0.2">
      <c r="A25" t="s">
        <v>134</v>
      </c>
      <c r="B25">
        <v>6</v>
      </c>
      <c r="C25" s="1">
        <f t="shared" si="1"/>
        <v>0.36099999999999999</v>
      </c>
    </row>
    <row r="26" spans="1:3" x14ac:dyDescent="0.2">
      <c r="A26" t="s">
        <v>134</v>
      </c>
      <c r="B26">
        <v>7</v>
      </c>
      <c r="C26" s="1">
        <f t="shared" si="1"/>
        <v>0.36099999999999999</v>
      </c>
    </row>
    <row r="27" spans="1:3" x14ac:dyDescent="0.2">
      <c r="A27" t="s">
        <v>134</v>
      </c>
      <c r="B27">
        <v>8</v>
      </c>
      <c r="C27" s="1">
        <f t="shared" si="1"/>
        <v>0.36099999999999999</v>
      </c>
    </row>
    <row r="28" spans="1:3" x14ac:dyDescent="0.2">
      <c r="A28" t="s">
        <v>135</v>
      </c>
      <c r="B28">
        <v>1</v>
      </c>
      <c r="C28" s="1">
        <f>(3488-2633-322)/1000</f>
        <v>0.53300000000000003</v>
      </c>
    </row>
    <row r="29" spans="1:3" x14ac:dyDescent="0.2">
      <c r="A29" t="s">
        <v>135</v>
      </c>
      <c r="B29">
        <v>2</v>
      </c>
      <c r="C29" s="1">
        <f t="shared" ref="C29:C35" si="2">(3488-2633-322)/1000</f>
        <v>0.53300000000000003</v>
      </c>
    </row>
    <row r="30" spans="1:3" x14ac:dyDescent="0.2">
      <c r="A30" t="s">
        <v>135</v>
      </c>
      <c r="B30">
        <v>3</v>
      </c>
      <c r="C30" s="1">
        <f t="shared" si="2"/>
        <v>0.53300000000000003</v>
      </c>
    </row>
    <row r="31" spans="1:3" x14ac:dyDescent="0.2">
      <c r="A31" t="s">
        <v>135</v>
      </c>
      <c r="B31">
        <v>4</v>
      </c>
      <c r="C31" s="1">
        <f t="shared" si="2"/>
        <v>0.53300000000000003</v>
      </c>
    </row>
    <row r="32" spans="1:3" x14ac:dyDescent="0.2">
      <c r="A32" t="s">
        <v>135</v>
      </c>
      <c r="B32">
        <v>5</v>
      </c>
      <c r="C32" s="1">
        <f t="shared" si="2"/>
        <v>0.53300000000000003</v>
      </c>
    </row>
    <row r="33" spans="1:3" x14ac:dyDescent="0.2">
      <c r="A33" t="s">
        <v>135</v>
      </c>
      <c r="B33">
        <v>6</v>
      </c>
      <c r="C33" s="1">
        <f t="shared" si="2"/>
        <v>0.53300000000000003</v>
      </c>
    </row>
    <row r="34" spans="1:3" x14ac:dyDescent="0.2">
      <c r="A34" t="s">
        <v>135</v>
      </c>
      <c r="B34">
        <v>7</v>
      </c>
      <c r="C34" s="1">
        <f t="shared" si="2"/>
        <v>0.53300000000000003</v>
      </c>
    </row>
    <row r="35" spans="1:3" x14ac:dyDescent="0.2">
      <c r="A35" t="s">
        <v>135</v>
      </c>
      <c r="B35">
        <v>8</v>
      </c>
      <c r="C35" s="1">
        <f t="shared" si="2"/>
        <v>0.53300000000000003</v>
      </c>
    </row>
    <row r="36" spans="1:3" x14ac:dyDescent="0.2">
      <c r="A36" t="s">
        <v>136</v>
      </c>
      <c r="B36">
        <v>1</v>
      </c>
      <c r="C36">
        <v>0</v>
      </c>
    </row>
    <row r="37" spans="1:3" x14ac:dyDescent="0.2">
      <c r="A37" t="s">
        <v>136</v>
      </c>
      <c r="B37">
        <v>2</v>
      </c>
      <c r="C37">
        <v>0</v>
      </c>
    </row>
    <row r="38" spans="1:3" x14ac:dyDescent="0.2">
      <c r="A38" t="s">
        <v>136</v>
      </c>
      <c r="B38">
        <v>3</v>
      </c>
      <c r="C38">
        <v>0</v>
      </c>
    </row>
    <row r="39" spans="1:3" x14ac:dyDescent="0.2">
      <c r="A39" t="s">
        <v>136</v>
      </c>
      <c r="B39">
        <v>4</v>
      </c>
      <c r="C39">
        <v>0</v>
      </c>
    </row>
    <row r="40" spans="1:3" x14ac:dyDescent="0.2">
      <c r="A40" t="s">
        <v>136</v>
      </c>
      <c r="B40">
        <v>5</v>
      </c>
      <c r="C40">
        <v>0</v>
      </c>
    </row>
    <row r="41" spans="1:3" x14ac:dyDescent="0.2">
      <c r="A41" t="s">
        <v>136</v>
      </c>
      <c r="B41">
        <v>6</v>
      </c>
      <c r="C41">
        <v>0</v>
      </c>
    </row>
    <row r="42" spans="1:3" x14ac:dyDescent="0.2">
      <c r="A42" t="s">
        <v>136</v>
      </c>
      <c r="B42">
        <v>7</v>
      </c>
      <c r="C42">
        <v>0</v>
      </c>
    </row>
    <row r="43" spans="1:3" x14ac:dyDescent="0.2">
      <c r="A43" t="s">
        <v>136</v>
      </c>
      <c r="B43">
        <v>8</v>
      </c>
      <c r="C43">
        <v>0</v>
      </c>
    </row>
    <row r="44" spans="1:3" x14ac:dyDescent="0.2">
      <c r="A44" t="s">
        <v>144</v>
      </c>
      <c r="B44">
        <v>1</v>
      </c>
      <c r="C44">
        <f>C4</f>
        <v>0.23499999999999999</v>
      </c>
    </row>
    <row r="45" spans="1:3" x14ac:dyDescent="0.2">
      <c r="A45" t="s">
        <v>144</v>
      </c>
      <c r="B45">
        <v>2</v>
      </c>
      <c r="C45">
        <f t="shared" ref="C45:C51" si="3">C5</f>
        <v>0.23499999999999999</v>
      </c>
    </row>
    <row r="46" spans="1:3" x14ac:dyDescent="0.2">
      <c r="A46" t="s">
        <v>144</v>
      </c>
      <c r="B46">
        <v>3</v>
      </c>
      <c r="C46">
        <f t="shared" si="3"/>
        <v>0.23499999999999999</v>
      </c>
    </row>
    <row r="47" spans="1:3" x14ac:dyDescent="0.2">
      <c r="A47" t="s">
        <v>144</v>
      </c>
      <c r="B47">
        <v>4</v>
      </c>
      <c r="C47">
        <f t="shared" si="3"/>
        <v>0.23499999999999999</v>
      </c>
    </row>
    <row r="48" spans="1:3" x14ac:dyDescent="0.2">
      <c r="A48" t="s">
        <v>144</v>
      </c>
      <c r="B48">
        <v>5</v>
      </c>
      <c r="C48">
        <f t="shared" si="3"/>
        <v>0.23499999999999999</v>
      </c>
    </row>
    <row r="49" spans="1:3" x14ac:dyDescent="0.2">
      <c r="A49" t="s">
        <v>144</v>
      </c>
      <c r="B49">
        <v>6</v>
      </c>
      <c r="C49">
        <f t="shared" si="3"/>
        <v>0.23499999999999999</v>
      </c>
    </row>
    <row r="50" spans="1:3" x14ac:dyDescent="0.2">
      <c r="A50" t="s">
        <v>144</v>
      </c>
      <c r="B50">
        <v>7</v>
      </c>
      <c r="C50">
        <f t="shared" si="3"/>
        <v>0.23499999999999999</v>
      </c>
    </row>
    <row r="51" spans="1:3" x14ac:dyDescent="0.2">
      <c r="A51" t="s">
        <v>144</v>
      </c>
      <c r="B51">
        <v>8</v>
      </c>
      <c r="C51">
        <f t="shared" si="3"/>
        <v>0.23499999999999999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B1B4C-9070-2B48-95B3-6D5CBD169BFB}">
  <dimension ref="A1:F9"/>
  <sheetViews>
    <sheetView workbookViewId="0">
      <selection activeCell="F10" sqref="F10"/>
    </sheetView>
  </sheetViews>
  <sheetFormatPr baseColWidth="10" defaultRowHeight="16" x14ac:dyDescent="0.2"/>
  <sheetData>
    <row r="1" spans="1:6" x14ac:dyDescent="0.2">
      <c r="A1" t="s">
        <v>94</v>
      </c>
    </row>
    <row r="2" spans="1:6" x14ac:dyDescent="0.2">
      <c r="A2" t="s">
        <v>93</v>
      </c>
    </row>
    <row r="3" spans="1:6" x14ac:dyDescent="0.2">
      <c r="A3" t="s">
        <v>3</v>
      </c>
      <c r="B3" t="s">
        <v>97</v>
      </c>
    </row>
    <row r="4" spans="1:6" x14ac:dyDescent="0.2">
      <c r="A4" t="s">
        <v>1</v>
      </c>
      <c r="B4">
        <v>1.6</v>
      </c>
    </row>
    <row r="5" spans="1:6" x14ac:dyDescent="0.2">
      <c r="A5" t="s">
        <v>95</v>
      </c>
      <c r="B5">
        <f>B6</f>
        <v>2.5000000000000001E-2</v>
      </c>
    </row>
    <row r="6" spans="1:6" x14ac:dyDescent="0.2">
      <c r="A6" t="s">
        <v>134</v>
      </c>
      <c r="B6">
        <f>25/1000</f>
        <v>2.5000000000000001E-2</v>
      </c>
    </row>
    <row r="7" spans="1:6" x14ac:dyDescent="0.2">
      <c r="A7" t="s">
        <v>135</v>
      </c>
      <c r="B7">
        <v>0</v>
      </c>
    </row>
    <row r="8" spans="1:6" x14ac:dyDescent="0.2">
      <c r="A8" t="s">
        <v>136</v>
      </c>
      <c r="B8">
        <v>0.04</v>
      </c>
      <c r="F8" t="s">
        <v>161</v>
      </c>
    </row>
    <row r="9" spans="1:6" x14ac:dyDescent="0.2">
      <c r="A9" t="s">
        <v>144</v>
      </c>
      <c r="B9">
        <f>(1-F9)*B4</f>
        <v>0.64000000000000012</v>
      </c>
      <c r="F9">
        <v>0.6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5ED9-ECF3-D147-80A5-A6887CDB9B45}">
  <dimension ref="A1:B9"/>
  <sheetViews>
    <sheetView tabSelected="1" workbookViewId="0">
      <selection activeCell="B10" sqref="B10"/>
    </sheetView>
  </sheetViews>
  <sheetFormatPr baseColWidth="10" defaultRowHeight="16" x14ac:dyDescent="0.2"/>
  <sheetData>
    <row r="1" spans="1:2" x14ac:dyDescent="0.2">
      <c r="A1" t="s">
        <v>153</v>
      </c>
    </row>
    <row r="2" spans="1:2" x14ac:dyDescent="0.2">
      <c r="A2" t="s">
        <v>150</v>
      </c>
    </row>
    <row r="3" spans="1:2" x14ac:dyDescent="0.2">
      <c r="A3" t="s">
        <v>3</v>
      </c>
      <c r="B3" t="s">
        <v>145</v>
      </c>
    </row>
    <row r="4" spans="1:2" x14ac:dyDescent="0.2">
      <c r="A4" t="s">
        <v>1</v>
      </c>
      <c r="B4">
        <v>0</v>
      </c>
    </row>
    <row r="5" spans="1:2" x14ac:dyDescent="0.2">
      <c r="A5" t="s">
        <v>95</v>
      </c>
      <c r="B5">
        <v>0</v>
      </c>
    </row>
    <row r="6" spans="1:2" x14ac:dyDescent="0.2">
      <c r="A6" t="s">
        <v>134</v>
      </c>
      <c r="B6">
        <v>0</v>
      </c>
    </row>
    <row r="7" spans="1:2" x14ac:dyDescent="0.2">
      <c r="A7" t="s">
        <v>135</v>
      </c>
      <c r="B7">
        <v>0</v>
      </c>
    </row>
    <row r="8" spans="1:2" x14ac:dyDescent="0.2">
      <c r="A8" t="s">
        <v>136</v>
      </c>
      <c r="B8">
        <v>0</v>
      </c>
    </row>
    <row r="9" spans="1:2" x14ac:dyDescent="0.2">
      <c r="A9" t="s">
        <v>144</v>
      </c>
      <c r="B9">
        <f>Steel_CO2Emissions!F9*Steel_CO2Emissions!B4</f>
        <v>0.96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12E6-6C8A-E54A-B902-469BEA2043EB}">
  <dimension ref="A1:I163"/>
  <sheetViews>
    <sheetView workbookViewId="0">
      <selection activeCell="E4" sqref="E4"/>
    </sheetView>
  </sheetViews>
  <sheetFormatPr baseColWidth="10" defaultRowHeight="16" x14ac:dyDescent="0.2"/>
  <sheetData>
    <row r="1" spans="1:9" x14ac:dyDescent="0.2">
      <c r="A1" t="s">
        <v>28</v>
      </c>
    </row>
    <row r="2" spans="1:9" x14ac:dyDescent="0.2">
      <c r="A2" t="s">
        <v>64</v>
      </c>
    </row>
    <row r="3" spans="1:9" x14ac:dyDescent="0.2">
      <c r="A3" t="s">
        <v>6</v>
      </c>
      <c r="B3" t="s">
        <v>2</v>
      </c>
      <c r="C3" t="s">
        <v>91</v>
      </c>
      <c r="E3" t="s">
        <v>90</v>
      </c>
    </row>
    <row r="4" spans="1:9" x14ac:dyDescent="0.2">
      <c r="A4" t="s">
        <v>8</v>
      </c>
      <c r="B4">
        <v>1</v>
      </c>
      <c r="C4">
        <f>E4*10^3</f>
        <v>39666000</v>
      </c>
      <c r="E4">
        <v>39666</v>
      </c>
      <c r="G4" t="s">
        <v>29</v>
      </c>
    </row>
    <row r="5" spans="1:9" x14ac:dyDescent="0.2">
      <c r="A5" t="s">
        <v>9</v>
      </c>
      <c r="B5">
        <v>1</v>
      </c>
      <c r="C5">
        <f t="shared" ref="C5:C68" si="0">E5*10^3</f>
        <v>23241000</v>
      </c>
      <c r="E5">
        <v>23241</v>
      </c>
    </row>
    <row r="6" spans="1:9" x14ac:dyDescent="0.2">
      <c r="A6" t="s">
        <v>10</v>
      </c>
      <c r="B6">
        <v>1</v>
      </c>
      <c r="C6">
        <f t="shared" si="0"/>
        <v>14451000</v>
      </c>
      <c r="E6">
        <v>14451</v>
      </c>
      <c r="G6" t="s">
        <v>2</v>
      </c>
      <c r="H6" t="s">
        <v>30</v>
      </c>
      <c r="I6" t="s">
        <v>31</v>
      </c>
    </row>
    <row r="7" spans="1:9" x14ac:dyDescent="0.2">
      <c r="A7" t="s">
        <v>11</v>
      </c>
      <c r="B7">
        <v>1</v>
      </c>
      <c r="C7">
        <f t="shared" si="0"/>
        <v>13503000</v>
      </c>
      <c r="E7">
        <v>13503</v>
      </c>
      <c r="G7">
        <v>1</v>
      </c>
      <c r="H7">
        <v>1.9</v>
      </c>
      <c r="I7">
        <f>H7/$H$7</f>
        <v>1</v>
      </c>
    </row>
    <row r="8" spans="1:9" x14ac:dyDescent="0.2">
      <c r="A8" t="s">
        <v>12</v>
      </c>
      <c r="B8">
        <v>1</v>
      </c>
      <c r="C8">
        <f t="shared" si="0"/>
        <v>8956000</v>
      </c>
      <c r="E8">
        <v>8956</v>
      </c>
      <c r="G8">
        <v>2</v>
      </c>
      <c r="H8">
        <v>1.9</v>
      </c>
      <c r="I8">
        <f t="shared" ref="I8:I14" si="1">H8/$H$7</f>
        <v>1</v>
      </c>
    </row>
    <row r="9" spans="1:9" x14ac:dyDescent="0.2">
      <c r="A9" t="s">
        <v>13</v>
      </c>
      <c r="B9">
        <v>1</v>
      </c>
      <c r="C9">
        <f t="shared" si="0"/>
        <v>7760000</v>
      </c>
      <c r="E9">
        <v>7760</v>
      </c>
      <c r="G9">
        <v>3</v>
      </c>
      <c r="H9">
        <v>2</v>
      </c>
      <c r="I9">
        <f t="shared" si="1"/>
        <v>1.0526315789473684</v>
      </c>
    </row>
    <row r="10" spans="1:9" x14ac:dyDescent="0.2">
      <c r="A10" t="s">
        <v>14</v>
      </c>
      <c r="B10">
        <v>1</v>
      </c>
      <c r="C10">
        <f t="shared" si="0"/>
        <v>7424000</v>
      </c>
      <c r="E10">
        <v>7424</v>
      </c>
      <c r="G10">
        <v>4</v>
      </c>
      <c r="H10">
        <v>2</v>
      </c>
      <c r="I10">
        <f t="shared" si="1"/>
        <v>1.0526315789473684</v>
      </c>
    </row>
    <row r="11" spans="1:9" x14ac:dyDescent="0.2">
      <c r="A11" t="s">
        <v>18</v>
      </c>
      <c r="B11">
        <v>1</v>
      </c>
      <c r="C11">
        <f t="shared" si="0"/>
        <v>7218000</v>
      </c>
      <c r="E11">
        <v>7218</v>
      </c>
      <c r="G11">
        <v>5</v>
      </c>
      <c r="H11">
        <v>2.0499999999999998</v>
      </c>
      <c r="I11">
        <f t="shared" si="1"/>
        <v>1.0789473684210527</v>
      </c>
    </row>
    <row r="12" spans="1:9" x14ac:dyDescent="0.2">
      <c r="A12" t="s">
        <v>15</v>
      </c>
      <c r="B12">
        <v>1</v>
      </c>
      <c r="C12">
        <f t="shared" si="0"/>
        <v>6657000</v>
      </c>
      <c r="E12">
        <v>6657</v>
      </c>
      <c r="G12">
        <v>6</v>
      </c>
      <c r="H12">
        <v>2.0499999999999998</v>
      </c>
      <c r="I12">
        <f t="shared" si="1"/>
        <v>1.0789473684210527</v>
      </c>
    </row>
    <row r="13" spans="1:9" x14ac:dyDescent="0.2">
      <c r="A13" t="s">
        <v>16</v>
      </c>
      <c r="B13">
        <v>1</v>
      </c>
      <c r="C13">
        <f t="shared" si="0"/>
        <v>4699000</v>
      </c>
      <c r="E13">
        <v>4699</v>
      </c>
      <c r="G13">
        <v>7</v>
      </c>
      <c r="H13">
        <v>2.1</v>
      </c>
      <c r="I13">
        <f t="shared" si="1"/>
        <v>1.1052631578947369</v>
      </c>
    </row>
    <row r="14" spans="1:9" x14ac:dyDescent="0.2">
      <c r="A14" t="s">
        <v>17</v>
      </c>
      <c r="B14">
        <v>1</v>
      </c>
      <c r="C14">
        <f t="shared" si="0"/>
        <v>4550000</v>
      </c>
      <c r="E14">
        <v>4550</v>
      </c>
      <c r="G14">
        <v>8</v>
      </c>
      <c r="H14">
        <v>2.1</v>
      </c>
      <c r="I14">
        <f t="shared" si="1"/>
        <v>1.1052631578947369</v>
      </c>
    </row>
    <row r="15" spans="1:9" x14ac:dyDescent="0.2">
      <c r="A15" t="s">
        <v>19</v>
      </c>
      <c r="B15">
        <v>1</v>
      </c>
      <c r="C15">
        <f t="shared" si="0"/>
        <v>3931000</v>
      </c>
      <c r="E15">
        <v>3931</v>
      </c>
    </row>
    <row r="16" spans="1:9" x14ac:dyDescent="0.2">
      <c r="A16" t="s">
        <v>20</v>
      </c>
      <c r="B16">
        <v>1</v>
      </c>
      <c r="C16">
        <f t="shared" si="0"/>
        <v>3473000</v>
      </c>
      <c r="E16">
        <v>3473</v>
      </c>
    </row>
    <row r="17" spans="1:5" x14ac:dyDescent="0.2">
      <c r="A17" t="s">
        <v>21</v>
      </c>
      <c r="B17">
        <v>1</v>
      </c>
      <c r="C17">
        <f t="shared" si="0"/>
        <v>3448000</v>
      </c>
      <c r="E17">
        <v>3448</v>
      </c>
    </row>
    <row r="18" spans="1:5" x14ac:dyDescent="0.2">
      <c r="A18" t="s">
        <v>22</v>
      </c>
      <c r="B18">
        <v>1</v>
      </c>
      <c r="C18">
        <f t="shared" si="0"/>
        <v>2119000</v>
      </c>
      <c r="E18">
        <v>2119</v>
      </c>
    </row>
    <row r="19" spans="1:5" x14ac:dyDescent="0.2">
      <c r="A19" t="s">
        <v>23</v>
      </c>
      <c r="B19">
        <v>1</v>
      </c>
      <c r="C19">
        <f t="shared" si="0"/>
        <v>1769000</v>
      </c>
      <c r="E19">
        <v>1769</v>
      </c>
    </row>
    <row r="20" spans="1:5" x14ac:dyDescent="0.2">
      <c r="A20" t="s">
        <v>24</v>
      </c>
      <c r="B20">
        <v>1</v>
      </c>
      <c r="C20">
        <f t="shared" si="0"/>
        <v>1350000</v>
      </c>
      <c r="E20">
        <v>1350</v>
      </c>
    </row>
    <row r="21" spans="1:5" x14ac:dyDescent="0.2">
      <c r="A21" t="s">
        <v>25</v>
      </c>
      <c r="B21">
        <v>1</v>
      </c>
      <c r="C21">
        <f t="shared" si="0"/>
        <v>566000</v>
      </c>
      <c r="E21">
        <v>566</v>
      </c>
    </row>
    <row r="22" spans="1:5" x14ac:dyDescent="0.2">
      <c r="A22" t="s">
        <v>26</v>
      </c>
      <c r="B22">
        <v>1</v>
      </c>
      <c r="C22">
        <f t="shared" si="0"/>
        <v>699000</v>
      </c>
      <c r="E22">
        <v>699</v>
      </c>
    </row>
    <row r="23" spans="1:5" x14ac:dyDescent="0.2">
      <c r="A23" t="s">
        <v>27</v>
      </c>
      <c r="B23">
        <v>1</v>
      </c>
      <c r="C23">
        <f t="shared" si="0"/>
        <v>69000</v>
      </c>
      <c r="E23">
        <v>69</v>
      </c>
    </row>
    <row r="24" spans="1:5" x14ac:dyDescent="0.2">
      <c r="A24" t="s">
        <v>8</v>
      </c>
      <c r="B24">
        <v>2</v>
      </c>
      <c r="C24">
        <f t="shared" si="0"/>
        <v>39666000</v>
      </c>
      <c r="E24">
        <v>39666</v>
      </c>
    </row>
    <row r="25" spans="1:5" x14ac:dyDescent="0.2">
      <c r="A25" t="s">
        <v>9</v>
      </c>
      <c r="B25">
        <v>2</v>
      </c>
      <c r="C25">
        <f t="shared" si="0"/>
        <v>23241000</v>
      </c>
      <c r="E25">
        <v>23241</v>
      </c>
    </row>
    <row r="26" spans="1:5" x14ac:dyDescent="0.2">
      <c r="A26" t="s">
        <v>10</v>
      </c>
      <c r="B26">
        <v>2</v>
      </c>
      <c r="C26">
        <f t="shared" si="0"/>
        <v>14451000</v>
      </c>
      <c r="E26">
        <v>14451</v>
      </c>
    </row>
    <row r="27" spans="1:5" x14ac:dyDescent="0.2">
      <c r="A27" t="s">
        <v>11</v>
      </c>
      <c r="B27">
        <v>2</v>
      </c>
      <c r="C27">
        <f t="shared" si="0"/>
        <v>13503000</v>
      </c>
      <c r="E27">
        <v>13503</v>
      </c>
    </row>
    <row r="28" spans="1:5" x14ac:dyDescent="0.2">
      <c r="A28" t="s">
        <v>12</v>
      </c>
      <c r="B28">
        <v>2</v>
      </c>
      <c r="C28">
        <f t="shared" si="0"/>
        <v>8956000</v>
      </c>
      <c r="E28">
        <v>8956</v>
      </c>
    </row>
    <row r="29" spans="1:5" x14ac:dyDescent="0.2">
      <c r="A29" t="s">
        <v>13</v>
      </c>
      <c r="B29">
        <v>2</v>
      </c>
      <c r="C29">
        <f t="shared" si="0"/>
        <v>7760000</v>
      </c>
      <c r="E29">
        <v>7760</v>
      </c>
    </row>
    <row r="30" spans="1:5" x14ac:dyDescent="0.2">
      <c r="A30" t="s">
        <v>14</v>
      </c>
      <c r="B30">
        <v>2</v>
      </c>
      <c r="C30">
        <f t="shared" si="0"/>
        <v>7424000</v>
      </c>
      <c r="E30">
        <v>7424</v>
      </c>
    </row>
    <row r="31" spans="1:5" x14ac:dyDescent="0.2">
      <c r="A31" t="s">
        <v>18</v>
      </c>
      <c r="B31">
        <v>2</v>
      </c>
      <c r="C31">
        <f t="shared" si="0"/>
        <v>7218000</v>
      </c>
      <c r="E31">
        <v>7218</v>
      </c>
    </row>
    <row r="32" spans="1:5" x14ac:dyDescent="0.2">
      <c r="A32" t="s">
        <v>15</v>
      </c>
      <c r="B32">
        <v>2</v>
      </c>
      <c r="C32">
        <f t="shared" si="0"/>
        <v>6657000</v>
      </c>
      <c r="E32">
        <v>6657</v>
      </c>
    </row>
    <row r="33" spans="1:5" x14ac:dyDescent="0.2">
      <c r="A33" t="s">
        <v>16</v>
      </c>
      <c r="B33">
        <v>2</v>
      </c>
      <c r="C33">
        <f t="shared" si="0"/>
        <v>4699000</v>
      </c>
      <c r="E33">
        <v>4699</v>
      </c>
    </row>
    <row r="34" spans="1:5" x14ac:dyDescent="0.2">
      <c r="A34" t="s">
        <v>17</v>
      </c>
      <c r="B34">
        <v>2</v>
      </c>
      <c r="C34">
        <f t="shared" si="0"/>
        <v>4550000</v>
      </c>
      <c r="E34">
        <v>4550</v>
      </c>
    </row>
    <row r="35" spans="1:5" x14ac:dyDescent="0.2">
      <c r="A35" t="s">
        <v>19</v>
      </c>
      <c r="B35">
        <v>2</v>
      </c>
      <c r="C35">
        <f t="shared" si="0"/>
        <v>3931000</v>
      </c>
      <c r="E35">
        <v>3931</v>
      </c>
    </row>
    <row r="36" spans="1:5" x14ac:dyDescent="0.2">
      <c r="A36" t="s">
        <v>20</v>
      </c>
      <c r="B36">
        <v>2</v>
      </c>
      <c r="C36">
        <f t="shared" si="0"/>
        <v>3473000</v>
      </c>
      <c r="E36">
        <v>3473</v>
      </c>
    </row>
    <row r="37" spans="1:5" x14ac:dyDescent="0.2">
      <c r="A37" t="s">
        <v>21</v>
      </c>
      <c r="B37">
        <v>2</v>
      </c>
      <c r="C37">
        <f t="shared" si="0"/>
        <v>3448000</v>
      </c>
      <c r="E37">
        <v>3448</v>
      </c>
    </row>
    <row r="38" spans="1:5" x14ac:dyDescent="0.2">
      <c r="A38" t="s">
        <v>22</v>
      </c>
      <c r="B38">
        <v>2</v>
      </c>
      <c r="C38">
        <f t="shared" si="0"/>
        <v>2119000</v>
      </c>
      <c r="E38">
        <v>2119</v>
      </c>
    </row>
    <row r="39" spans="1:5" x14ac:dyDescent="0.2">
      <c r="A39" t="s">
        <v>23</v>
      </c>
      <c r="B39">
        <v>2</v>
      </c>
      <c r="C39">
        <f t="shared" si="0"/>
        <v>1769000</v>
      </c>
      <c r="E39">
        <v>1769</v>
      </c>
    </row>
    <row r="40" spans="1:5" x14ac:dyDescent="0.2">
      <c r="A40" t="s">
        <v>24</v>
      </c>
      <c r="B40">
        <v>2</v>
      </c>
      <c r="C40">
        <f t="shared" si="0"/>
        <v>1350000</v>
      </c>
      <c r="E40">
        <v>1350</v>
      </c>
    </row>
    <row r="41" spans="1:5" x14ac:dyDescent="0.2">
      <c r="A41" t="s">
        <v>25</v>
      </c>
      <c r="B41">
        <v>2</v>
      </c>
      <c r="C41">
        <f t="shared" si="0"/>
        <v>566000</v>
      </c>
      <c r="E41">
        <v>566</v>
      </c>
    </row>
    <row r="42" spans="1:5" x14ac:dyDescent="0.2">
      <c r="A42" t="s">
        <v>26</v>
      </c>
      <c r="B42">
        <v>2</v>
      </c>
      <c r="C42">
        <f t="shared" si="0"/>
        <v>699000</v>
      </c>
      <c r="E42">
        <v>699</v>
      </c>
    </row>
    <row r="43" spans="1:5" x14ac:dyDescent="0.2">
      <c r="A43" t="s">
        <v>27</v>
      </c>
      <c r="B43">
        <v>2</v>
      </c>
      <c r="C43">
        <f t="shared" si="0"/>
        <v>69000</v>
      </c>
      <c r="E43">
        <v>69</v>
      </c>
    </row>
    <row r="44" spans="1:5" x14ac:dyDescent="0.2">
      <c r="A44" t="s">
        <v>8</v>
      </c>
      <c r="B44">
        <v>3</v>
      </c>
      <c r="C44">
        <f t="shared" si="0"/>
        <v>41753684.21052631</v>
      </c>
      <c r="E44">
        <f>E4*$I$9</f>
        <v>41753.684210526313</v>
      </c>
    </row>
    <row r="45" spans="1:5" x14ac:dyDescent="0.2">
      <c r="A45" t="s">
        <v>9</v>
      </c>
      <c r="B45">
        <v>3</v>
      </c>
      <c r="C45">
        <f t="shared" si="0"/>
        <v>24464210.526315786</v>
      </c>
      <c r="E45">
        <f t="shared" ref="E45:E83" si="2">E5*$I$9</f>
        <v>24464.210526315786</v>
      </c>
    </row>
    <row r="46" spans="1:5" x14ac:dyDescent="0.2">
      <c r="A46" t="s">
        <v>10</v>
      </c>
      <c r="B46">
        <v>3</v>
      </c>
      <c r="C46">
        <f t="shared" si="0"/>
        <v>15211578.947368421</v>
      </c>
      <c r="E46">
        <f t="shared" si="2"/>
        <v>15211.57894736842</v>
      </c>
    </row>
    <row r="47" spans="1:5" x14ac:dyDescent="0.2">
      <c r="A47" t="s">
        <v>11</v>
      </c>
      <c r="B47">
        <v>3</v>
      </c>
      <c r="C47">
        <f t="shared" si="0"/>
        <v>14213684.210526315</v>
      </c>
      <c r="E47">
        <f t="shared" si="2"/>
        <v>14213.684210526315</v>
      </c>
    </row>
    <row r="48" spans="1:5" x14ac:dyDescent="0.2">
      <c r="A48" t="s">
        <v>12</v>
      </c>
      <c r="B48">
        <v>3</v>
      </c>
      <c r="C48">
        <f t="shared" si="0"/>
        <v>9427368.421052631</v>
      </c>
      <c r="E48">
        <f t="shared" si="2"/>
        <v>9427.3684210526317</v>
      </c>
    </row>
    <row r="49" spans="1:5" x14ac:dyDescent="0.2">
      <c r="A49" t="s">
        <v>13</v>
      </c>
      <c r="B49">
        <v>3</v>
      </c>
      <c r="C49">
        <f t="shared" si="0"/>
        <v>8168421.0526315784</v>
      </c>
      <c r="E49">
        <f t="shared" si="2"/>
        <v>8168.4210526315783</v>
      </c>
    </row>
    <row r="50" spans="1:5" x14ac:dyDescent="0.2">
      <c r="A50" t="s">
        <v>14</v>
      </c>
      <c r="B50">
        <v>3</v>
      </c>
      <c r="C50">
        <f t="shared" si="0"/>
        <v>7814736.842105262</v>
      </c>
      <c r="E50">
        <f t="shared" si="2"/>
        <v>7814.7368421052624</v>
      </c>
    </row>
    <row r="51" spans="1:5" x14ac:dyDescent="0.2">
      <c r="A51" t="s">
        <v>18</v>
      </c>
      <c r="B51">
        <v>3</v>
      </c>
      <c r="C51">
        <f t="shared" si="0"/>
        <v>7597894.7368421052</v>
      </c>
      <c r="E51">
        <f t="shared" si="2"/>
        <v>7597.894736842105</v>
      </c>
    </row>
    <row r="52" spans="1:5" x14ac:dyDescent="0.2">
      <c r="A52" t="s">
        <v>15</v>
      </c>
      <c r="B52">
        <v>3</v>
      </c>
      <c r="C52">
        <f t="shared" si="0"/>
        <v>7007368.421052631</v>
      </c>
      <c r="E52">
        <f t="shared" si="2"/>
        <v>7007.3684210526308</v>
      </c>
    </row>
    <row r="53" spans="1:5" x14ac:dyDescent="0.2">
      <c r="A53" t="s">
        <v>16</v>
      </c>
      <c r="B53">
        <v>3</v>
      </c>
      <c r="C53">
        <f t="shared" si="0"/>
        <v>4946315.7894736845</v>
      </c>
      <c r="E53">
        <f t="shared" si="2"/>
        <v>4946.3157894736842</v>
      </c>
    </row>
    <row r="54" spans="1:5" x14ac:dyDescent="0.2">
      <c r="A54" t="s">
        <v>17</v>
      </c>
      <c r="B54">
        <v>3</v>
      </c>
      <c r="C54">
        <f t="shared" si="0"/>
        <v>4789473.6842105258</v>
      </c>
      <c r="E54">
        <f t="shared" si="2"/>
        <v>4789.4736842105258</v>
      </c>
    </row>
    <row r="55" spans="1:5" x14ac:dyDescent="0.2">
      <c r="A55" t="s">
        <v>19</v>
      </c>
      <c r="B55">
        <v>3</v>
      </c>
      <c r="C55">
        <f t="shared" si="0"/>
        <v>4137894.7368421052</v>
      </c>
      <c r="E55">
        <f t="shared" si="2"/>
        <v>4137.894736842105</v>
      </c>
    </row>
    <row r="56" spans="1:5" x14ac:dyDescent="0.2">
      <c r="A56" t="s">
        <v>20</v>
      </c>
      <c r="B56">
        <v>3</v>
      </c>
      <c r="C56">
        <f t="shared" si="0"/>
        <v>3655789.4736842103</v>
      </c>
      <c r="E56">
        <f t="shared" si="2"/>
        <v>3655.7894736842104</v>
      </c>
    </row>
    <row r="57" spans="1:5" x14ac:dyDescent="0.2">
      <c r="A57" t="s">
        <v>21</v>
      </c>
      <c r="B57">
        <v>3</v>
      </c>
      <c r="C57">
        <f t="shared" si="0"/>
        <v>3629473.6842105263</v>
      </c>
      <c r="E57">
        <f t="shared" si="2"/>
        <v>3629.4736842105262</v>
      </c>
    </row>
    <row r="58" spans="1:5" x14ac:dyDescent="0.2">
      <c r="A58" t="s">
        <v>22</v>
      </c>
      <c r="B58">
        <v>3</v>
      </c>
      <c r="C58">
        <f t="shared" si="0"/>
        <v>2230526.3157894737</v>
      </c>
      <c r="E58">
        <f t="shared" si="2"/>
        <v>2230.5263157894738</v>
      </c>
    </row>
    <row r="59" spans="1:5" x14ac:dyDescent="0.2">
      <c r="A59" t="s">
        <v>23</v>
      </c>
      <c r="B59">
        <v>3</v>
      </c>
      <c r="C59">
        <f t="shared" si="0"/>
        <v>1862105.2631578946</v>
      </c>
      <c r="E59">
        <f t="shared" si="2"/>
        <v>1862.1052631578946</v>
      </c>
    </row>
    <row r="60" spans="1:5" x14ac:dyDescent="0.2">
      <c r="A60" t="s">
        <v>24</v>
      </c>
      <c r="B60">
        <v>3</v>
      </c>
      <c r="C60">
        <f t="shared" si="0"/>
        <v>1421052.6315789472</v>
      </c>
      <c r="E60">
        <f t="shared" si="2"/>
        <v>1421.0526315789473</v>
      </c>
    </row>
    <row r="61" spans="1:5" x14ac:dyDescent="0.2">
      <c r="A61" t="s">
        <v>25</v>
      </c>
      <c r="B61">
        <v>3</v>
      </c>
      <c r="C61">
        <f t="shared" si="0"/>
        <v>595789.47368421056</v>
      </c>
      <c r="E61">
        <f t="shared" si="2"/>
        <v>595.78947368421052</v>
      </c>
    </row>
    <row r="62" spans="1:5" x14ac:dyDescent="0.2">
      <c r="A62" t="s">
        <v>26</v>
      </c>
      <c r="B62">
        <v>3</v>
      </c>
      <c r="C62">
        <f t="shared" si="0"/>
        <v>735789.47368421056</v>
      </c>
      <c r="E62">
        <f t="shared" si="2"/>
        <v>735.78947368421052</v>
      </c>
    </row>
    <row r="63" spans="1:5" x14ac:dyDescent="0.2">
      <c r="A63" t="s">
        <v>27</v>
      </c>
      <c r="B63">
        <v>3</v>
      </c>
      <c r="C63">
        <f t="shared" si="0"/>
        <v>72631.578947368413</v>
      </c>
      <c r="E63">
        <f t="shared" si="2"/>
        <v>72.631578947368411</v>
      </c>
    </row>
    <row r="64" spans="1:5" x14ac:dyDescent="0.2">
      <c r="A64" t="s">
        <v>8</v>
      </c>
      <c r="B64">
        <v>4</v>
      </c>
      <c r="C64">
        <f t="shared" si="0"/>
        <v>41753684.21052631</v>
      </c>
      <c r="E64">
        <f>E24*$I$9</f>
        <v>41753.684210526313</v>
      </c>
    </row>
    <row r="65" spans="1:5" x14ac:dyDescent="0.2">
      <c r="A65" t="s">
        <v>9</v>
      </c>
      <c r="B65">
        <v>4</v>
      </c>
      <c r="C65">
        <f t="shared" si="0"/>
        <v>24464210.526315786</v>
      </c>
      <c r="E65">
        <f t="shared" si="2"/>
        <v>24464.210526315786</v>
      </c>
    </row>
    <row r="66" spans="1:5" x14ac:dyDescent="0.2">
      <c r="A66" t="s">
        <v>10</v>
      </c>
      <c r="B66">
        <v>4</v>
      </c>
      <c r="C66">
        <f t="shared" si="0"/>
        <v>15211578.947368421</v>
      </c>
      <c r="E66">
        <f t="shared" si="2"/>
        <v>15211.57894736842</v>
      </c>
    </row>
    <row r="67" spans="1:5" x14ac:dyDescent="0.2">
      <c r="A67" t="s">
        <v>11</v>
      </c>
      <c r="B67">
        <v>4</v>
      </c>
      <c r="C67">
        <f t="shared" si="0"/>
        <v>14213684.210526315</v>
      </c>
      <c r="E67">
        <f t="shared" si="2"/>
        <v>14213.684210526315</v>
      </c>
    </row>
    <row r="68" spans="1:5" x14ac:dyDescent="0.2">
      <c r="A68" t="s">
        <v>12</v>
      </c>
      <c r="B68">
        <v>4</v>
      </c>
      <c r="C68">
        <f t="shared" si="0"/>
        <v>9427368.421052631</v>
      </c>
      <c r="E68">
        <f t="shared" si="2"/>
        <v>9427.3684210526317</v>
      </c>
    </row>
    <row r="69" spans="1:5" x14ac:dyDescent="0.2">
      <c r="A69" t="s">
        <v>13</v>
      </c>
      <c r="B69">
        <v>4</v>
      </c>
      <c r="C69">
        <f t="shared" ref="C69:C132" si="3">E69*10^3</f>
        <v>8168421.0526315784</v>
      </c>
      <c r="E69">
        <f t="shared" si="2"/>
        <v>8168.4210526315783</v>
      </c>
    </row>
    <row r="70" spans="1:5" x14ac:dyDescent="0.2">
      <c r="A70" t="s">
        <v>14</v>
      </c>
      <c r="B70">
        <v>4</v>
      </c>
      <c r="C70">
        <f t="shared" si="3"/>
        <v>7814736.842105262</v>
      </c>
      <c r="E70">
        <f t="shared" si="2"/>
        <v>7814.7368421052624</v>
      </c>
    </row>
    <row r="71" spans="1:5" x14ac:dyDescent="0.2">
      <c r="A71" t="s">
        <v>18</v>
      </c>
      <c r="B71">
        <v>4</v>
      </c>
      <c r="C71">
        <f t="shared" si="3"/>
        <v>7597894.7368421052</v>
      </c>
      <c r="E71">
        <f t="shared" si="2"/>
        <v>7597.894736842105</v>
      </c>
    </row>
    <row r="72" spans="1:5" x14ac:dyDescent="0.2">
      <c r="A72" t="s">
        <v>15</v>
      </c>
      <c r="B72">
        <v>4</v>
      </c>
      <c r="C72">
        <f t="shared" si="3"/>
        <v>7007368.421052631</v>
      </c>
      <c r="E72">
        <f t="shared" si="2"/>
        <v>7007.3684210526308</v>
      </c>
    </row>
    <row r="73" spans="1:5" x14ac:dyDescent="0.2">
      <c r="A73" t="s">
        <v>16</v>
      </c>
      <c r="B73">
        <v>4</v>
      </c>
      <c r="C73">
        <f t="shared" si="3"/>
        <v>4946315.7894736845</v>
      </c>
      <c r="E73">
        <f t="shared" si="2"/>
        <v>4946.3157894736842</v>
      </c>
    </row>
    <row r="74" spans="1:5" x14ac:dyDescent="0.2">
      <c r="A74" t="s">
        <v>17</v>
      </c>
      <c r="B74">
        <v>4</v>
      </c>
      <c r="C74">
        <f t="shared" si="3"/>
        <v>4789473.6842105258</v>
      </c>
      <c r="E74">
        <f t="shared" si="2"/>
        <v>4789.4736842105258</v>
      </c>
    </row>
    <row r="75" spans="1:5" x14ac:dyDescent="0.2">
      <c r="A75" t="s">
        <v>19</v>
      </c>
      <c r="B75">
        <v>4</v>
      </c>
      <c r="C75">
        <f t="shared" si="3"/>
        <v>4137894.7368421052</v>
      </c>
      <c r="E75">
        <f t="shared" si="2"/>
        <v>4137.894736842105</v>
      </c>
    </row>
    <row r="76" spans="1:5" x14ac:dyDescent="0.2">
      <c r="A76" t="s">
        <v>20</v>
      </c>
      <c r="B76">
        <v>4</v>
      </c>
      <c r="C76">
        <f t="shared" si="3"/>
        <v>3655789.4736842103</v>
      </c>
      <c r="E76">
        <f t="shared" si="2"/>
        <v>3655.7894736842104</v>
      </c>
    </row>
    <row r="77" spans="1:5" x14ac:dyDescent="0.2">
      <c r="A77" t="s">
        <v>21</v>
      </c>
      <c r="B77">
        <v>4</v>
      </c>
      <c r="C77">
        <f t="shared" si="3"/>
        <v>3629473.6842105263</v>
      </c>
      <c r="E77">
        <f t="shared" si="2"/>
        <v>3629.4736842105262</v>
      </c>
    </row>
    <row r="78" spans="1:5" x14ac:dyDescent="0.2">
      <c r="A78" t="s">
        <v>22</v>
      </c>
      <c r="B78">
        <v>4</v>
      </c>
      <c r="C78">
        <f t="shared" si="3"/>
        <v>2230526.3157894737</v>
      </c>
      <c r="E78">
        <f t="shared" si="2"/>
        <v>2230.5263157894738</v>
      </c>
    </row>
    <row r="79" spans="1:5" x14ac:dyDescent="0.2">
      <c r="A79" t="s">
        <v>23</v>
      </c>
      <c r="B79">
        <v>4</v>
      </c>
      <c r="C79">
        <f t="shared" si="3"/>
        <v>1862105.2631578946</v>
      </c>
      <c r="E79">
        <f t="shared" si="2"/>
        <v>1862.1052631578946</v>
      </c>
    </row>
    <row r="80" spans="1:5" x14ac:dyDescent="0.2">
      <c r="A80" t="s">
        <v>24</v>
      </c>
      <c r="B80">
        <v>4</v>
      </c>
      <c r="C80">
        <f t="shared" si="3"/>
        <v>1421052.6315789472</v>
      </c>
      <c r="E80">
        <f t="shared" si="2"/>
        <v>1421.0526315789473</v>
      </c>
    </row>
    <row r="81" spans="1:5" x14ac:dyDescent="0.2">
      <c r="A81" t="s">
        <v>25</v>
      </c>
      <c r="B81">
        <v>4</v>
      </c>
      <c r="C81">
        <f t="shared" si="3"/>
        <v>595789.47368421056</v>
      </c>
      <c r="E81">
        <f t="shared" si="2"/>
        <v>595.78947368421052</v>
      </c>
    </row>
    <row r="82" spans="1:5" x14ac:dyDescent="0.2">
      <c r="A82" t="s">
        <v>26</v>
      </c>
      <c r="B82">
        <v>4</v>
      </c>
      <c r="C82">
        <f t="shared" si="3"/>
        <v>735789.47368421056</v>
      </c>
      <c r="E82">
        <f t="shared" si="2"/>
        <v>735.78947368421052</v>
      </c>
    </row>
    <row r="83" spans="1:5" x14ac:dyDescent="0.2">
      <c r="A83" t="s">
        <v>27</v>
      </c>
      <c r="B83">
        <v>4</v>
      </c>
      <c r="C83">
        <f t="shared" si="3"/>
        <v>72631.578947368413</v>
      </c>
      <c r="E83">
        <f t="shared" si="2"/>
        <v>72.631578947368411</v>
      </c>
    </row>
    <row r="84" spans="1:5" x14ac:dyDescent="0.2">
      <c r="A84" t="s">
        <v>8</v>
      </c>
      <c r="B84">
        <v>5</v>
      </c>
      <c r="C84">
        <f t="shared" si="3"/>
        <v>42797526.315789476</v>
      </c>
      <c r="E84">
        <f>E4*$I$11</f>
        <v>42797.526315789473</v>
      </c>
    </row>
    <row r="85" spans="1:5" x14ac:dyDescent="0.2">
      <c r="A85" t="s">
        <v>9</v>
      </c>
      <c r="B85">
        <v>5</v>
      </c>
      <c r="C85">
        <f t="shared" si="3"/>
        <v>25075815.789473683</v>
      </c>
      <c r="E85">
        <f t="shared" ref="E85:E123" si="4">E5*$I$11</f>
        <v>25075.815789473683</v>
      </c>
    </row>
    <row r="86" spans="1:5" x14ac:dyDescent="0.2">
      <c r="A86" t="s">
        <v>10</v>
      </c>
      <c r="B86">
        <v>5</v>
      </c>
      <c r="C86">
        <f t="shared" si="3"/>
        <v>15591868.421052631</v>
      </c>
      <c r="E86">
        <f t="shared" si="4"/>
        <v>15591.868421052632</v>
      </c>
    </row>
    <row r="87" spans="1:5" x14ac:dyDescent="0.2">
      <c r="A87" t="s">
        <v>11</v>
      </c>
      <c r="B87">
        <v>5</v>
      </c>
      <c r="C87">
        <f t="shared" si="3"/>
        <v>14569026.315789474</v>
      </c>
      <c r="E87">
        <f t="shared" si="4"/>
        <v>14569.026315789473</v>
      </c>
    </row>
    <row r="88" spans="1:5" x14ac:dyDescent="0.2">
      <c r="A88" t="s">
        <v>12</v>
      </c>
      <c r="B88">
        <v>5</v>
      </c>
      <c r="C88">
        <f t="shared" si="3"/>
        <v>9663052.6315789483</v>
      </c>
      <c r="E88">
        <f t="shared" si="4"/>
        <v>9663.0526315789484</v>
      </c>
    </row>
    <row r="89" spans="1:5" x14ac:dyDescent="0.2">
      <c r="A89" t="s">
        <v>13</v>
      </c>
      <c r="B89">
        <v>5</v>
      </c>
      <c r="C89">
        <f t="shared" si="3"/>
        <v>8372631.5789473681</v>
      </c>
      <c r="E89">
        <f t="shared" si="4"/>
        <v>8372.6315789473683</v>
      </c>
    </row>
    <row r="90" spans="1:5" x14ac:dyDescent="0.2">
      <c r="A90" t="s">
        <v>14</v>
      </c>
      <c r="B90">
        <v>5</v>
      </c>
      <c r="C90">
        <f t="shared" si="3"/>
        <v>8010105.2631578948</v>
      </c>
      <c r="E90">
        <f t="shared" si="4"/>
        <v>8010.105263157895</v>
      </c>
    </row>
    <row r="91" spans="1:5" x14ac:dyDescent="0.2">
      <c r="A91" t="s">
        <v>18</v>
      </c>
      <c r="B91">
        <v>5</v>
      </c>
      <c r="C91">
        <f t="shared" si="3"/>
        <v>7787842.1052631587</v>
      </c>
      <c r="E91">
        <f t="shared" si="4"/>
        <v>7787.8421052631584</v>
      </c>
    </row>
    <row r="92" spans="1:5" x14ac:dyDescent="0.2">
      <c r="A92" t="s">
        <v>15</v>
      </c>
      <c r="B92">
        <v>5</v>
      </c>
      <c r="C92">
        <f t="shared" si="3"/>
        <v>7182552.6315789474</v>
      </c>
      <c r="E92">
        <f t="shared" si="4"/>
        <v>7182.5526315789475</v>
      </c>
    </row>
    <row r="93" spans="1:5" x14ac:dyDescent="0.2">
      <c r="A93" t="s">
        <v>16</v>
      </c>
      <c r="B93">
        <v>5</v>
      </c>
      <c r="C93">
        <f t="shared" si="3"/>
        <v>5069973.6842105268</v>
      </c>
      <c r="E93">
        <f t="shared" si="4"/>
        <v>5069.9736842105267</v>
      </c>
    </row>
    <row r="94" spans="1:5" x14ac:dyDescent="0.2">
      <c r="A94" t="s">
        <v>17</v>
      </c>
      <c r="B94">
        <v>5</v>
      </c>
      <c r="C94">
        <f t="shared" si="3"/>
        <v>4909210.5263157887</v>
      </c>
      <c r="E94">
        <f t="shared" si="4"/>
        <v>4909.2105263157891</v>
      </c>
    </row>
    <row r="95" spans="1:5" x14ac:dyDescent="0.2">
      <c r="A95" t="s">
        <v>19</v>
      </c>
      <c r="B95">
        <v>5</v>
      </c>
      <c r="C95">
        <f t="shared" si="3"/>
        <v>4241342.1052631587</v>
      </c>
      <c r="E95">
        <f t="shared" si="4"/>
        <v>4241.3421052631584</v>
      </c>
    </row>
    <row r="96" spans="1:5" x14ac:dyDescent="0.2">
      <c r="A96" t="s">
        <v>20</v>
      </c>
      <c r="B96">
        <v>5</v>
      </c>
      <c r="C96">
        <f t="shared" si="3"/>
        <v>3747184.210526316</v>
      </c>
      <c r="E96">
        <f t="shared" si="4"/>
        <v>3747.1842105263158</v>
      </c>
    </row>
    <row r="97" spans="1:5" x14ac:dyDescent="0.2">
      <c r="A97" t="s">
        <v>21</v>
      </c>
      <c r="B97">
        <v>5</v>
      </c>
      <c r="C97">
        <f t="shared" si="3"/>
        <v>3720210.5263157897</v>
      </c>
      <c r="E97">
        <f t="shared" si="4"/>
        <v>3720.2105263157896</v>
      </c>
    </row>
    <row r="98" spans="1:5" x14ac:dyDescent="0.2">
      <c r="A98" t="s">
        <v>22</v>
      </c>
      <c r="B98">
        <v>5</v>
      </c>
      <c r="C98">
        <f t="shared" si="3"/>
        <v>2286289.4736842103</v>
      </c>
      <c r="E98">
        <f t="shared" si="4"/>
        <v>2286.2894736842104</v>
      </c>
    </row>
    <row r="99" spans="1:5" x14ac:dyDescent="0.2">
      <c r="A99" t="s">
        <v>23</v>
      </c>
      <c r="B99">
        <v>5</v>
      </c>
      <c r="C99">
        <f t="shared" si="3"/>
        <v>1908657.894736842</v>
      </c>
      <c r="E99">
        <f t="shared" si="4"/>
        <v>1908.6578947368421</v>
      </c>
    </row>
    <row r="100" spans="1:5" x14ac:dyDescent="0.2">
      <c r="A100" t="s">
        <v>24</v>
      </c>
      <c r="B100">
        <v>5</v>
      </c>
      <c r="C100">
        <f t="shared" si="3"/>
        <v>1456578.9473684211</v>
      </c>
      <c r="E100">
        <f t="shared" si="4"/>
        <v>1456.578947368421</v>
      </c>
    </row>
    <row r="101" spans="1:5" x14ac:dyDescent="0.2">
      <c r="A101" t="s">
        <v>25</v>
      </c>
      <c r="B101">
        <v>5</v>
      </c>
      <c r="C101">
        <f t="shared" si="3"/>
        <v>610684.21052631584</v>
      </c>
      <c r="E101">
        <f t="shared" si="4"/>
        <v>610.68421052631584</v>
      </c>
    </row>
    <row r="102" spans="1:5" x14ac:dyDescent="0.2">
      <c r="A102" t="s">
        <v>26</v>
      </c>
      <c r="B102">
        <v>5</v>
      </c>
      <c r="C102">
        <f t="shared" si="3"/>
        <v>754184.21052631584</v>
      </c>
      <c r="E102">
        <f t="shared" si="4"/>
        <v>754.18421052631584</v>
      </c>
    </row>
    <row r="103" spans="1:5" x14ac:dyDescent="0.2">
      <c r="A103" t="s">
        <v>27</v>
      </c>
      <c r="B103">
        <v>5</v>
      </c>
      <c r="C103">
        <f t="shared" si="3"/>
        <v>74447.368421052626</v>
      </c>
      <c r="E103">
        <f t="shared" si="4"/>
        <v>74.44736842105263</v>
      </c>
    </row>
    <row r="104" spans="1:5" x14ac:dyDescent="0.2">
      <c r="A104" s="2" t="s">
        <v>8</v>
      </c>
      <c r="B104" s="2">
        <v>6</v>
      </c>
      <c r="C104">
        <f t="shared" si="3"/>
        <v>42797526.315789476</v>
      </c>
      <c r="E104">
        <f t="shared" si="4"/>
        <v>42797.526315789473</v>
      </c>
    </row>
    <row r="105" spans="1:5" x14ac:dyDescent="0.2">
      <c r="A105" s="2" t="s">
        <v>9</v>
      </c>
      <c r="B105" s="2">
        <v>6</v>
      </c>
      <c r="C105">
        <f t="shared" si="3"/>
        <v>25075815.789473683</v>
      </c>
      <c r="E105">
        <f t="shared" si="4"/>
        <v>25075.815789473683</v>
      </c>
    </row>
    <row r="106" spans="1:5" x14ac:dyDescent="0.2">
      <c r="A106" s="2" t="s">
        <v>10</v>
      </c>
      <c r="B106" s="2">
        <v>6</v>
      </c>
      <c r="C106">
        <f t="shared" si="3"/>
        <v>15591868.421052631</v>
      </c>
      <c r="E106">
        <f t="shared" si="4"/>
        <v>15591.868421052632</v>
      </c>
    </row>
    <row r="107" spans="1:5" x14ac:dyDescent="0.2">
      <c r="A107" s="2" t="s">
        <v>11</v>
      </c>
      <c r="B107" s="2">
        <v>6</v>
      </c>
      <c r="C107">
        <f t="shared" si="3"/>
        <v>14569026.315789474</v>
      </c>
      <c r="E107">
        <f t="shared" si="4"/>
        <v>14569.026315789473</v>
      </c>
    </row>
    <row r="108" spans="1:5" x14ac:dyDescent="0.2">
      <c r="A108" s="2" t="s">
        <v>12</v>
      </c>
      <c r="B108" s="2">
        <v>6</v>
      </c>
      <c r="C108">
        <f t="shared" si="3"/>
        <v>9663052.6315789483</v>
      </c>
      <c r="E108">
        <f t="shared" si="4"/>
        <v>9663.0526315789484</v>
      </c>
    </row>
    <row r="109" spans="1:5" x14ac:dyDescent="0.2">
      <c r="A109" s="2" t="s">
        <v>13</v>
      </c>
      <c r="B109" s="2">
        <v>6</v>
      </c>
      <c r="C109">
        <f t="shared" si="3"/>
        <v>8372631.5789473681</v>
      </c>
      <c r="E109">
        <f t="shared" si="4"/>
        <v>8372.6315789473683</v>
      </c>
    </row>
    <row r="110" spans="1:5" x14ac:dyDescent="0.2">
      <c r="A110" s="2" t="s">
        <v>14</v>
      </c>
      <c r="B110" s="2">
        <v>6</v>
      </c>
      <c r="C110">
        <f t="shared" si="3"/>
        <v>8010105.2631578948</v>
      </c>
      <c r="E110">
        <f t="shared" si="4"/>
        <v>8010.105263157895</v>
      </c>
    </row>
    <row r="111" spans="1:5" x14ac:dyDescent="0.2">
      <c r="A111" s="2" t="s">
        <v>18</v>
      </c>
      <c r="B111" s="2">
        <v>6</v>
      </c>
      <c r="C111">
        <f t="shared" si="3"/>
        <v>7787842.1052631587</v>
      </c>
      <c r="E111">
        <f t="shared" si="4"/>
        <v>7787.8421052631584</v>
      </c>
    </row>
    <row r="112" spans="1:5" x14ac:dyDescent="0.2">
      <c r="A112" s="2" t="s">
        <v>15</v>
      </c>
      <c r="B112" s="2">
        <v>6</v>
      </c>
      <c r="C112">
        <f t="shared" si="3"/>
        <v>7182552.6315789474</v>
      </c>
      <c r="E112">
        <f t="shared" si="4"/>
        <v>7182.5526315789475</v>
      </c>
    </row>
    <row r="113" spans="1:5" x14ac:dyDescent="0.2">
      <c r="A113" s="2" t="s">
        <v>16</v>
      </c>
      <c r="B113" s="2">
        <v>6</v>
      </c>
      <c r="C113">
        <f t="shared" si="3"/>
        <v>5069973.6842105268</v>
      </c>
      <c r="E113">
        <f t="shared" si="4"/>
        <v>5069.9736842105267</v>
      </c>
    </row>
    <row r="114" spans="1:5" x14ac:dyDescent="0.2">
      <c r="A114" s="2" t="s">
        <v>17</v>
      </c>
      <c r="B114" s="2">
        <v>6</v>
      </c>
      <c r="C114">
        <f t="shared" si="3"/>
        <v>4909210.5263157887</v>
      </c>
      <c r="E114">
        <f t="shared" si="4"/>
        <v>4909.2105263157891</v>
      </c>
    </row>
    <row r="115" spans="1:5" x14ac:dyDescent="0.2">
      <c r="A115" s="2" t="s">
        <v>19</v>
      </c>
      <c r="B115" s="2">
        <v>6</v>
      </c>
      <c r="C115">
        <f t="shared" si="3"/>
        <v>4241342.1052631587</v>
      </c>
      <c r="E115">
        <f t="shared" si="4"/>
        <v>4241.3421052631584</v>
      </c>
    </row>
    <row r="116" spans="1:5" x14ac:dyDescent="0.2">
      <c r="A116" s="2" t="s">
        <v>20</v>
      </c>
      <c r="B116" s="2">
        <v>6</v>
      </c>
      <c r="C116">
        <f t="shared" si="3"/>
        <v>3747184.210526316</v>
      </c>
      <c r="E116">
        <f t="shared" si="4"/>
        <v>3747.1842105263158</v>
      </c>
    </row>
    <row r="117" spans="1:5" x14ac:dyDescent="0.2">
      <c r="A117" s="2" t="s">
        <v>21</v>
      </c>
      <c r="B117" s="2">
        <v>6</v>
      </c>
      <c r="C117">
        <f t="shared" si="3"/>
        <v>3720210.5263157897</v>
      </c>
      <c r="E117">
        <f t="shared" si="4"/>
        <v>3720.2105263157896</v>
      </c>
    </row>
    <row r="118" spans="1:5" x14ac:dyDescent="0.2">
      <c r="A118" s="2" t="s">
        <v>22</v>
      </c>
      <c r="B118" s="2">
        <v>6</v>
      </c>
      <c r="C118">
        <f t="shared" si="3"/>
        <v>2286289.4736842103</v>
      </c>
      <c r="E118">
        <f t="shared" si="4"/>
        <v>2286.2894736842104</v>
      </c>
    </row>
    <row r="119" spans="1:5" x14ac:dyDescent="0.2">
      <c r="A119" s="2" t="s">
        <v>23</v>
      </c>
      <c r="B119" s="2">
        <v>6</v>
      </c>
      <c r="C119">
        <f t="shared" si="3"/>
        <v>1908657.894736842</v>
      </c>
      <c r="E119">
        <f t="shared" si="4"/>
        <v>1908.6578947368421</v>
      </c>
    </row>
    <row r="120" spans="1:5" x14ac:dyDescent="0.2">
      <c r="A120" s="2" t="s">
        <v>24</v>
      </c>
      <c r="B120" s="2">
        <v>6</v>
      </c>
      <c r="C120">
        <f t="shared" si="3"/>
        <v>1456578.9473684211</v>
      </c>
      <c r="E120">
        <f t="shared" si="4"/>
        <v>1456.578947368421</v>
      </c>
    </row>
    <row r="121" spans="1:5" x14ac:dyDescent="0.2">
      <c r="A121" s="2" t="s">
        <v>25</v>
      </c>
      <c r="B121" s="2">
        <v>6</v>
      </c>
      <c r="C121">
        <f t="shared" si="3"/>
        <v>610684.21052631584</v>
      </c>
      <c r="E121">
        <f t="shared" si="4"/>
        <v>610.68421052631584</v>
      </c>
    </row>
    <row r="122" spans="1:5" x14ac:dyDescent="0.2">
      <c r="A122" s="2" t="s">
        <v>26</v>
      </c>
      <c r="B122" s="2">
        <v>6</v>
      </c>
      <c r="C122">
        <f t="shared" si="3"/>
        <v>754184.21052631584</v>
      </c>
      <c r="E122">
        <f t="shared" si="4"/>
        <v>754.18421052631584</v>
      </c>
    </row>
    <row r="123" spans="1:5" x14ac:dyDescent="0.2">
      <c r="A123" s="2" t="s">
        <v>27</v>
      </c>
      <c r="B123" s="2">
        <v>6</v>
      </c>
      <c r="C123">
        <f t="shared" si="3"/>
        <v>74447.368421052626</v>
      </c>
      <c r="E123">
        <f t="shared" si="4"/>
        <v>74.44736842105263</v>
      </c>
    </row>
    <row r="124" spans="1:5" x14ac:dyDescent="0.2">
      <c r="A124" s="2" t="s">
        <v>8</v>
      </c>
      <c r="B124" s="2">
        <v>7</v>
      </c>
      <c r="C124">
        <f t="shared" si="3"/>
        <v>43841368.421052635</v>
      </c>
      <c r="E124">
        <f>E4*$I$13</f>
        <v>43841.368421052633</v>
      </c>
    </row>
    <row r="125" spans="1:5" x14ac:dyDescent="0.2">
      <c r="A125" s="2" t="s">
        <v>9</v>
      </c>
      <c r="B125" s="2">
        <v>7</v>
      </c>
      <c r="C125">
        <f t="shared" si="3"/>
        <v>25687421.052631579</v>
      </c>
      <c r="E125">
        <f t="shared" ref="E125:E163" si="5">E5*$I$13</f>
        <v>25687.42105263158</v>
      </c>
    </row>
    <row r="126" spans="1:5" x14ac:dyDescent="0.2">
      <c r="A126" s="2" t="s">
        <v>10</v>
      </c>
      <c r="B126" s="2">
        <v>7</v>
      </c>
      <c r="C126">
        <f t="shared" si="3"/>
        <v>15972157.894736843</v>
      </c>
      <c r="E126">
        <f t="shared" si="5"/>
        <v>15972.157894736843</v>
      </c>
    </row>
    <row r="127" spans="1:5" x14ac:dyDescent="0.2">
      <c r="A127" s="2" t="s">
        <v>11</v>
      </c>
      <c r="B127" s="2">
        <v>7</v>
      </c>
      <c r="C127">
        <f t="shared" si="3"/>
        <v>14924368.421052633</v>
      </c>
      <c r="E127">
        <f t="shared" si="5"/>
        <v>14924.368421052633</v>
      </c>
    </row>
    <row r="128" spans="1:5" x14ac:dyDescent="0.2">
      <c r="A128" s="2" t="s">
        <v>12</v>
      </c>
      <c r="B128" s="2">
        <v>7</v>
      </c>
      <c r="C128">
        <f t="shared" si="3"/>
        <v>9898736.8421052638</v>
      </c>
      <c r="E128">
        <f t="shared" si="5"/>
        <v>9898.7368421052633</v>
      </c>
    </row>
    <row r="129" spans="1:5" x14ac:dyDescent="0.2">
      <c r="A129" s="2" t="s">
        <v>13</v>
      </c>
      <c r="B129" s="2">
        <v>7</v>
      </c>
      <c r="C129">
        <f t="shared" si="3"/>
        <v>8576842.1052631587</v>
      </c>
      <c r="E129">
        <f t="shared" si="5"/>
        <v>8576.8421052631584</v>
      </c>
    </row>
    <row r="130" spans="1:5" x14ac:dyDescent="0.2">
      <c r="A130" s="2" t="s">
        <v>14</v>
      </c>
      <c r="B130" s="2">
        <v>7</v>
      </c>
      <c r="C130">
        <f t="shared" si="3"/>
        <v>8205473.6842105268</v>
      </c>
      <c r="E130">
        <f t="shared" si="5"/>
        <v>8205.4736842105267</v>
      </c>
    </row>
    <row r="131" spans="1:5" x14ac:dyDescent="0.2">
      <c r="A131" s="2" t="s">
        <v>18</v>
      </c>
      <c r="B131" s="2">
        <v>7</v>
      </c>
      <c r="C131">
        <f t="shared" si="3"/>
        <v>7977789.4736842113</v>
      </c>
      <c r="E131">
        <f t="shared" si="5"/>
        <v>7977.7894736842109</v>
      </c>
    </row>
    <row r="132" spans="1:5" x14ac:dyDescent="0.2">
      <c r="A132" s="2" t="s">
        <v>15</v>
      </c>
      <c r="B132" s="2">
        <v>7</v>
      </c>
      <c r="C132">
        <f t="shared" si="3"/>
        <v>7357736.8421052638</v>
      </c>
      <c r="E132">
        <f t="shared" si="5"/>
        <v>7357.7368421052643</v>
      </c>
    </row>
    <row r="133" spans="1:5" x14ac:dyDescent="0.2">
      <c r="A133" s="2" t="s">
        <v>16</v>
      </c>
      <c r="B133" s="2">
        <v>7</v>
      </c>
      <c r="C133">
        <f t="shared" ref="C133:C163" si="6">E133*10^3</f>
        <v>5193631.578947369</v>
      </c>
      <c r="E133">
        <f t="shared" si="5"/>
        <v>5193.6315789473692</v>
      </c>
    </row>
    <row r="134" spans="1:5" x14ac:dyDescent="0.2">
      <c r="A134" s="2" t="s">
        <v>17</v>
      </c>
      <c r="B134" s="2">
        <v>7</v>
      </c>
      <c r="C134">
        <f t="shared" si="6"/>
        <v>5028947.3684210535</v>
      </c>
      <c r="E134">
        <f t="shared" si="5"/>
        <v>5028.9473684210534</v>
      </c>
    </row>
    <row r="135" spans="1:5" x14ac:dyDescent="0.2">
      <c r="A135" s="2" t="s">
        <v>19</v>
      </c>
      <c r="B135" s="2">
        <v>7</v>
      </c>
      <c r="C135">
        <f t="shared" si="6"/>
        <v>4344789.4736842113</v>
      </c>
      <c r="E135">
        <f t="shared" si="5"/>
        <v>4344.7894736842109</v>
      </c>
    </row>
    <row r="136" spans="1:5" x14ac:dyDescent="0.2">
      <c r="A136" s="2" t="s">
        <v>20</v>
      </c>
      <c r="B136" s="2">
        <v>7</v>
      </c>
      <c r="C136">
        <f t="shared" si="6"/>
        <v>3838578.9473684211</v>
      </c>
      <c r="E136">
        <f t="shared" si="5"/>
        <v>3838.5789473684213</v>
      </c>
    </row>
    <row r="137" spans="1:5" x14ac:dyDescent="0.2">
      <c r="A137" s="2" t="s">
        <v>21</v>
      </c>
      <c r="B137" s="2">
        <v>7</v>
      </c>
      <c r="C137">
        <f t="shared" si="6"/>
        <v>3810947.368421053</v>
      </c>
      <c r="E137">
        <f t="shared" si="5"/>
        <v>3810.9473684210529</v>
      </c>
    </row>
    <row r="138" spans="1:5" x14ac:dyDescent="0.2">
      <c r="A138" s="2" t="s">
        <v>22</v>
      </c>
      <c r="B138" s="2">
        <v>7</v>
      </c>
      <c r="C138">
        <f t="shared" si="6"/>
        <v>2342052.6315789474</v>
      </c>
      <c r="E138">
        <f t="shared" si="5"/>
        <v>2342.0526315789475</v>
      </c>
    </row>
    <row r="139" spans="1:5" x14ac:dyDescent="0.2">
      <c r="A139" s="2" t="s">
        <v>23</v>
      </c>
      <c r="B139" s="2">
        <v>7</v>
      </c>
      <c r="C139">
        <f t="shared" si="6"/>
        <v>1955210.5263157897</v>
      </c>
      <c r="E139">
        <f t="shared" si="5"/>
        <v>1955.2105263157896</v>
      </c>
    </row>
    <row r="140" spans="1:5" x14ac:dyDescent="0.2">
      <c r="A140" s="2" t="s">
        <v>24</v>
      </c>
      <c r="B140" s="2">
        <v>7</v>
      </c>
      <c r="C140">
        <f t="shared" si="6"/>
        <v>1492105.2631578948</v>
      </c>
      <c r="E140">
        <f t="shared" si="5"/>
        <v>1492.1052631578948</v>
      </c>
    </row>
    <row r="141" spans="1:5" x14ac:dyDescent="0.2">
      <c r="A141" s="2" t="s">
        <v>25</v>
      </c>
      <c r="B141" s="2">
        <v>7</v>
      </c>
      <c r="C141">
        <f t="shared" si="6"/>
        <v>625578.94736842113</v>
      </c>
      <c r="E141">
        <f t="shared" si="5"/>
        <v>625.57894736842115</v>
      </c>
    </row>
    <row r="142" spans="1:5" x14ac:dyDescent="0.2">
      <c r="A142" s="2" t="s">
        <v>26</v>
      </c>
      <c r="B142" s="2">
        <v>7</v>
      </c>
      <c r="C142">
        <f t="shared" si="6"/>
        <v>772578.94736842113</v>
      </c>
      <c r="E142">
        <f t="shared" si="5"/>
        <v>772.57894736842115</v>
      </c>
    </row>
    <row r="143" spans="1:5" x14ac:dyDescent="0.2">
      <c r="A143" s="2" t="s">
        <v>27</v>
      </c>
      <c r="B143" s="2">
        <v>7</v>
      </c>
      <c r="C143">
        <f t="shared" si="6"/>
        <v>76263.157894736854</v>
      </c>
      <c r="E143">
        <f t="shared" si="5"/>
        <v>76.26315789473685</v>
      </c>
    </row>
    <row r="144" spans="1:5" x14ac:dyDescent="0.2">
      <c r="A144" s="2" t="s">
        <v>8</v>
      </c>
      <c r="B144" s="2">
        <v>8</v>
      </c>
      <c r="C144">
        <f t="shared" si="6"/>
        <v>43841368.421052635</v>
      </c>
      <c r="E144">
        <f t="shared" si="5"/>
        <v>43841.368421052633</v>
      </c>
    </row>
    <row r="145" spans="1:5" x14ac:dyDescent="0.2">
      <c r="A145" s="2" t="s">
        <v>9</v>
      </c>
      <c r="B145" s="2">
        <v>8</v>
      </c>
      <c r="C145">
        <f t="shared" si="6"/>
        <v>25687421.052631579</v>
      </c>
      <c r="E145">
        <f t="shared" si="5"/>
        <v>25687.42105263158</v>
      </c>
    </row>
    <row r="146" spans="1:5" x14ac:dyDescent="0.2">
      <c r="A146" s="2" t="s">
        <v>10</v>
      </c>
      <c r="B146" s="2">
        <v>8</v>
      </c>
      <c r="C146">
        <f t="shared" si="6"/>
        <v>15972157.894736843</v>
      </c>
      <c r="E146">
        <f t="shared" si="5"/>
        <v>15972.157894736843</v>
      </c>
    </row>
    <row r="147" spans="1:5" x14ac:dyDescent="0.2">
      <c r="A147" s="2" t="s">
        <v>11</v>
      </c>
      <c r="B147" s="2">
        <v>8</v>
      </c>
      <c r="C147">
        <f t="shared" si="6"/>
        <v>14924368.421052633</v>
      </c>
      <c r="E147">
        <f t="shared" si="5"/>
        <v>14924.368421052633</v>
      </c>
    </row>
    <row r="148" spans="1:5" x14ac:dyDescent="0.2">
      <c r="A148" s="2" t="s">
        <v>12</v>
      </c>
      <c r="B148" s="2">
        <v>8</v>
      </c>
      <c r="C148">
        <f t="shared" si="6"/>
        <v>9898736.8421052638</v>
      </c>
      <c r="E148">
        <f t="shared" si="5"/>
        <v>9898.7368421052633</v>
      </c>
    </row>
    <row r="149" spans="1:5" x14ac:dyDescent="0.2">
      <c r="A149" s="2" t="s">
        <v>13</v>
      </c>
      <c r="B149" s="2">
        <v>8</v>
      </c>
      <c r="C149">
        <f t="shared" si="6"/>
        <v>8576842.1052631587</v>
      </c>
      <c r="E149">
        <f t="shared" si="5"/>
        <v>8576.8421052631584</v>
      </c>
    </row>
    <row r="150" spans="1:5" x14ac:dyDescent="0.2">
      <c r="A150" s="2" t="s">
        <v>14</v>
      </c>
      <c r="B150" s="2">
        <v>8</v>
      </c>
      <c r="C150">
        <f t="shared" si="6"/>
        <v>8205473.6842105268</v>
      </c>
      <c r="E150">
        <f t="shared" si="5"/>
        <v>8205.4736842105267</v>
      </c>
    </row>
    <row r="151" spans="1:5" x14ac:dyDescent="0.2">
      <c r="A151" s="2" t="s">
        <v>18</v>
      </c>
      <c r="B151" s="2">
        <v>8</v>
      </c>
      <c r="C151">
        <f t="shared" si="6"/>
        <v>7977789.4736842113</v>
      </c>
      <c r="E151">
        <f t="shared" si="5"/>
        <v>7977.7894736842109</v>
      </c>
    </row>
    <row r="152" spans="1:5" x14ac:dyDescent="0.2">
      <c r="A152" s="2" t="s">
        <v>15</v>
      </c>
      <c r="B152" s="2">
        <v>8</v>
      </c>
      <c r="C152">
        <f t="shared" si="6"/>
        <v>7357736.8421052638</v>
      </c>
      <c r="E152">
        <f t="shared" si="5"/>
        <v>7357.7368421052643</v>
      </c>
    </row>
    <row r="153" spans="1:5" x14ac:dyDescent="0.2">
      <c r="A153" s="2" t="s">
        <v>16</v>
      </c>
      <c r="B153" s="2">
        <v>8</v>
      </c>
      <c r="C153">
        <f t="shared" si="6"/>
        <v>5193631.578947369</v>
      </c>
      <c r="E153">
        <f t="shared" si="5"/>
        <v>5193.6315789473692</v>
      </c>
    </row>
    <row r="154" spans="1:5" x14ac:dyDescent="0.2">
      <c r="A154" s="2" t="s">
        <v>17</v>
      </c>
      <c r="B154" s="2">
        <v>8</v>
      </c>
      <c r="C154">
        <f t="shared" si="6"/>
        <v>5028947.3684210535</v>
      </c>
      <c r="E154">
        <f t="shared" si="5"/>
        <v>5028.9473684210534</v>
      </c>
    </row>
    <row r="155" spans="1:5" x14ac:dyDescent="0.2">
      <c r="A155" s="2" t="s">
        <v>19</v>
      </c>
      <c r="B155" s="2">
        <v>8</v>
      </c>
      <c r="C155">
        <f t="shared" si="6"/>
        <v>4344789.4736842113</v>
      </c>
      <c r="E155">
        <f t="shared" si="5"/>
        <v>4344.7894736842109</v>
      </c>
    </row>
    <row r="156" spans="1:5" x14ac:dyDescent="0.2">
      <c r="A156" s="2" t="s">
        <v>20</v>
      </c>
      <c r="B156" s="2">
        <v>8</v>
      </c>
      <c r="C156">
        <f t="shared" si="6"/>
        <v>3838578.9473684211</v>
      </c>
      <c r="E156">
        <f t="shared" si="5"/>
        <v>3838.5789473684213</v>
      </c>
    </row>
    <row r="157" spans="1:5" x14ac:dyDescent="0.2">
      <c r="A157" s="2" t="s">
        <v>21</v>
      </c>
      <c r="B157" s="2">
        <v>8</v>
      </c>
      <c r="C157">
        <f t="shared" si="6"/>
        <v>3810947.368421053</v>
      </c>
      <c r="E157">
        <f t="shared" si="5"/>
        <v>3810.9473684210529</v>
      </c>
    </row>
    <row r="158" spans="1:5" x14ac:dyDescent="0.2">
      <c r="A158" s="2" t="s">
        <v>22</v>
      </c>
      <c r="B158" s="2">
        <v>8</v>
      </c>
      <c r="C158">
        <f t="shared" si="6"/>
        <v>2342052.6315789474</v>
      </c>
      <c r="E158">
        <f t="shared" si="5"/>
        <v>2342.0526315789475</v>
      </c>
    </row>
    <row r="159" spans="1:5" x14ac:dyDescent="0.2">
      <c r="A159" s="2" t="s">
        <v>23</v>
      </c>
      <c r="B159" s="2">
        <v>8</v>
      </c>
      <c r="C159">
        <f t="shared" si="6"/>
        <v>1955210.5263157897</v>
      </c>
      <c r="E159">
        <f t="shared" si="5"/>
        <v>1955.2105263157896</v>
      </c>
    </row>
    <row r="160" spans="1:5" x14ac:dyDescent="0.2">
      <c r="A160" s="2" t="s">
        <v>24</v>
      </c>
      <c r="B160" s="2">
        <v>8</v>
      </c>
      <c r="C160">
        <f t="shared" si="6"/>
        <v>1492105.2631578948</v>
      </c>
      <c r="E160">
        <f t="shared" si="5"/>
        <v>1492.1052631578948</v>
      </c>
    </row>
    <row r="161" spans="1:5" x14ac:dyDescent="0.2">
      <c r="A161" s="2" t="s">
        <v>25</v>
      </c>
      <c r="B161" s="2">
        <v>8</v>
      </c>
      <c r="C161">
        <f t="shared" si="6"/>
        <v>625578.94736842113</v>
      </c>
      <c r="E161">
        <f t="shared" si="5"/>
        <v>625.57894736842115</v>
      </c>
    </row>
    <row r="162" spans="1:5" x14ac:dyDescent="0.2">
      <c r="A162" s="2" t="s">
        <v>26</v>
      </c>
      <c r="B162" s="2">
        <v>8</v>
      </c>
      <c r="C162">
        <f t="shared" si="6"/>
        <v>772578.94736842113</v>
      </c>
      <c r="E162">
        <f t="shared" si="5"/>
        <v>772.57894736842115</v>
      </c>
    </row>
    <row r="163" spans="1:5" x14ac:dyDescent="0.2">
      <c r="A163" s="2" t="s">
        <v>27</v>
      </c>
      <c r="B163" s="2">
        <v>8</v>
      </c>
      <c r="C163">
        <f t="shared" si="6"/>
        <v>76263.157894736854</v>
      </c>
      <c r="E163">
        <f t="shared" si="5"/>
        <v>76.26315789473685</v>
      </c>
    </row>
  </sheetData>
  <autoFilter ref="A3:E163" xr:uid="{524D12E6-6C8A-E54A-B902-469BEA2043EB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366F0-3142-F44C-B36F-D36C334FE0BC}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141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578E8-6EBA-C64A-B4A1-A27C8A893F1A}">
  <dimension ref="A1:C38"/>
  <sheetViews>
    <sheetView workbookViewId="0">
      <selection activeCell="B2" sqref="B2"/>
    </sheetView>
  </sheetViews>
  <sheetFormatPr baseColWidth="10" defaultRowHeight="16" x14ac:dyDescent="0.2"/>
  <sheetData>
    <row r="1" spans="1:3" x14ac:dyDescent="0.2">
      <c r="A1" t="s">
        <v>109</v>
      </c>
    </row>
    <row r="2" spans="1:3" x14ac:dyDescent="0.2">
      <c r="A2" t="s">
        <v>110</v>
      </c>
    </row>
    <row r="3" spans="1:3" x14ac:dyDescent="0.2">
      <c r="A3" t="s">
        <v>6</v>
      </c>
      <c r="B3" t="s">
        <v>35</v>
      </c>
      <c r="C3" t="s">
        <v>111</v>
      </c>
    </row>
    <row r="4" spans="1:3" x14ac:dyDescent="0.2">
      <c r="A4" t="s">
        <v>14</v>
      </c>
      <c r="B4" t="s">
        <v>33</v>
      </c>
      <c r="C4">
        <f>Cement_YearlyProduction!B4/8760</f>
        <v>525.1141552511416</v>
      </c>
    </row>
    <row r="5" spans="1:3" x14ac:dyDescent="0.2">
      <c r="A5" t="s">
        <v>13</v>
      </c>
      <c r="B5" t="s">
        <v>33</v>
      </c>
      <c r="C5">
        <f>Cement_YearlyProduction!B5/8760</f>
        <v>714.04109589041093</v>
      </c>
    </row>
    <row r="6" spans="1:3" x14ac:dyDescent="0.2">
      <c r="A6" t="s">
        <v>54</v>
      </c>
      <c r="B6" t="s">
        <v>33</v>
      </c>
      <c r="C6">
        <f>Cement_YearlyProduction!B6/8760</f>
        <v>96.004566210045667</v>
      </c>
    </row>
    <row r="7" spans="1:3" x14ac:dyDescent="0.2">
      <c r="A7" t="s">
        <v>25</v>
      </c>
      <c r="B7" t="s">
        <v>33</v>
      </c>
      <c r="C7">
        <f>Cement_YearlyProduction!B7/8760</f>
        <v>227.6255707762557</v>
      </c>
    </row>
    <row r="8" spans="1:3" x14ac:dyDescent="0.2">
      <c r="A8" t="s">
        <v>27</v>
      </c>
      <c r="B8" t="s">
        <v>33</v>
      </c>
      <c r="C8">
        <f>Cement_YearlyProduction!B8/8760</f>
        <v>264.61187214611874</v>
      </c>
    </row>
    <row r="9" spans="1:3" x14ac:dyDescent="0.2">
      <c r="A9" t="s">
        <v>17</v>
      </c>
      <c r="B9" t="s">
        <v>33</v>
      </c>
      <c r="C9">
        <f>Cement_YearlyProduction!B9/8760</f>
        <v>449.42922374429224</v>
      </c>
    </row>
    <row r="10" spans="1:3" x14ac:dyDescent="0.2">
      <c r="A10" t="s">
        <v>55</v>
      </c>
      <c r="B10" t="s">
        <v>33</v>
      </c>
      <c r="C10">
        <f>Cement_YearlyProduction!B10/8760</f>
        <v>216.89497716894977</v>
      </c>
    </row>
    <row r="11" spans="1:3" x14ac:dyDescent="0.2">
      <c r="A11" t="s">
        <v>46</v>
      </c>
      <c r="B11" t="s">
        <v>33</v>
      </c>
      <c r="C11">
        <f>Cement_YearlyProduction!B11/8760</f>
        <v>45.091324200913242</v>
      </c>
    </row>
    <row r="12" spans="1:3" x14ac:dyDescent="0.2">
      <c r="A12" t="s">
        <v>20</v>
      </c>
      <c r="B12" t="s">
        <v>33</v>
      </c>
      <c r="C12">
        <f>Cement_YearlyProduction!B12/8760</f>
        <v>148.40182648401827</v>
      </c>
    </row>
    <row r="13" spans="1:3" x14ac:dyDescent="0.2">
      <c r="A13" t="s">
        <v>10</v>
      </c>
      <c r="B13" t="s">
        <v>33</v>
      </c>
      <c r="C13">
        <f>Cement_YearlyProduction!B13/8760</f>
        <v>1815.0684931506848</v>
      </c>
    </row>
    <row r="14" spans="1:3" x14ac:dyDescent="0.2">
      <c r="A14" t="s">
        <v>8</v>
      </c>
      <c r="B14" t="s">
        <v>33</v>
      </c>
      <c r="C14">
        <f>Cement_YearlyProduction!B14/8760</f>
        <v>3737.1004566210045</v>
      </c>
    </row>
    <row r="15" spans="1:3" x14ac:dyDescent="0.2">
      <c r="A15" t="s">
        <v>24</v>
      </c>
      <c r="B15" t="s">
        <v>33</v>
      </c>
      <c r="C15">
        <f>Cement_YearlyProduction!B15/8760</f>
        <v>762.55707762557074</v>
      </c>
    </row>
    <row r="16" spans="1:3" x14ac:dyDescent="0.2">
      <c r="A16" t="s">
        <v>23</v>
      </c>
      <c r="B16" t="s">
        <v>33</v>
      </c>
      <c r="C16">
        <f>Cement_YearlyProduction!B16/8760</f>
        <v>228.31050228310502</v>
      </c>
    </row>
    <row r="17" spans="1:3" x14ac:dyDescent="0.2">
      <c r="A17" t="s">
        <v>47</v>
      </c>
      <c r="B17" t="s">
        <v>33</v>
      </c>
      <c r="C17">
        <f>Cement_YearlyProduction!B17/8760</f>
        <v>285.38812785388126</v>
      </c>
    </row>
    <row r="18" spans="1:3" x14ac:dyDescent="0.2">
      <c r="A18" t="s">
        <v>9</v>
      </c>
      <c r="B18" t="s">
        <v>33</v>
      </c>
      <c r="C18">
        <f>Cement_YearlyProduction!B18/8760</f>
        <v>2203.1963470319633</v>
      </c>
    </row>
    <row r="19" spans="1:3" x14ac:dyDescent="0.2">
      <c r="A19" t="s">
        <v>48</v>
      </c>
      <c r="B19" t="s">
        <v>33</v>
      </c>
      <c r="C19">
        <f>Cement_YearlyProduction!B19/8760</f>
        <v>136.98630136986301</v>
      </c>
    </row>
    <row r="20" spans="1:3" x14ac:dyDescent="0.2">
      <c r="A20" t="s">
        <v>49</v>
      </c>
      <c r="B20" t="s">
        <v>33</v>
      </c>
      <c r="C20">
        <f>Cement_YearlyProduction!B20/8760</f>
        <v>115.29680365296804</v>
      </c>
    </row>
    <row r="21" spans="1:3" x14ac:dyDescent="0.2">
      <c r="A21" t="s">
        <v>22</v>
      </c>
      <c r="B21" t="s">
        <v>33</v>
      </c>
      <c r="C21">
        <f>Cement_YearlyProduction!B21/8760</f>
        <v>122.14611872146119</v>
      </c>
    </row>
    <row r="22" spans="1:3" x14ac:dyDescent="0.2">
      <c r="A22" t="s">
        <v>50</v>
      </c>
      <c r="B22" t="s">
        <v>33</v>
      </c>
      <c r="C22">
        <f>Cement_YearlyProduction!B22/8760</f>
        <v>97.602739726027394</v>
      </c>
    </row>
    <row r="23" spans="1:3" x14ac:dyDescent="0.2">
      <c r="A23" t="s">
        <v>15</v>
      </c>
      <c r="B23" t="s">
        <v>33</v>
      </c>
      <c r="C23">
        <f>Cement_YearlyProduction!B23/8760</f>
        <v>257.9908675799087</v>
      </c>
    </row>
    <row r="24" spans="1:3" x14ac:dyDescent="0.2">
      <c r="A24" t="s">
        <v>56</v>
      </c>
      <c r="B24" t="s">
        <v>33</v>
      </c>
      <c r="C24">
        <f>Cement_YearlyProduction!B24/8760</f>
        <v>42.237442922374427</v>
      </c>
    </row>
    <row r="25" spans="1:3" x14ac:dyDescent="0.2">
      <c r="A25" t="s">
        <v>57</v>
      </c>
      <c r="B25" t="s">
        <v>33</v>
      </c>
      <c r="C25">
        <f>Cement_YearlyProduction!B25/8760</f>
        <v>42.237442922374427</v>
      </c>
    </row>
    <row r="26" spans="1:3" x14ac:dyDescent="0.2">
      <c r="A26" t="s">
        <v>58</v>
      </c>
      <c r="B26" t="s">
        <v>33</v>
      </c>
      <c r="C26">
        <f>Cement_YearlyProduction!B26/8760</f>
        <v>42.237442922374427</v>
      </c>
    </row>
    <row r="27" spans="1:3" x14ac:dyDescent="0.2">
      <c r="A27" t="s">
        <v>59</v>
      </c>
      <c r="B27" t="s">
        <v>33</v>
      </c>
      <c r="C27">
        <f>Cement_YearlyProduction!B27/8760</f>
        <v>42.237442922374427</v>
      </c>
    </row>
    <row r="28" spans="1:3" x14ac:dyDescent="0.2">
      <c r="A28" t="s">
        <v>60</v>
      </c>
      <c r="B28" t="s">
        <v>33</v>
      </c>
      <c r="C28">
        <f>Cement_YearlyProduction!B28/8760</f>
        <v>42.237442922374427</v>
      </c>
    </row>
    <row r="29" spans="1:3" x14ac:dyDescent="0.2">
      <c r="A29" t="s">
        <v>12</v>
      </c>
      <c r="B29" t="s">
        <v>33</v>
      </c>
      <c r="C29">
        <f>Cement_YearlyProduction!B29/8760</f>
        <v>1794.7488584474886</v>
      </c>
    </row>
    <row r="30" spans="1:3" x14ac:dyDescent="0.2">
      <c r="A30" t="s">
        <v>51</v>
      </c>
      <c r="B30" t="s">
        <v>33</v>
      </c>
      <c r="C30">
        <f>Cement_YearlyProduction!B30/8760</f>
        <v>479.45205479452056</v>
      </c>
    </row>
    <row r="31" spans="1:3" x14ac:dyDescent="0.2">
      <c r="A31" t="s">
        <v>21</v>
      </c>
      <c r="B31" t="s">
        <v>33</v>
      </c>
      <c r="C31">
        <f>Cement_YearlyProduction!B31/8760</f>
        <v>917.57990867579906</v>
      </c>
    </row>
    <row r="32" spans="1:3" x14ac:dyDescent="0.2">
      <c r="A32" t="s">
        <v>52</v>
      </c>
      <c r="B32" t="s">
        <v>33</v>
      </c>
      <c r="C32">
        <f>Cement_YearlyProduction!B32/8760</f>
        <v>205.59360730593608</v>
      </c>
    </row>
    <row r="33" spans="1:3" x14ac:dyDescent="0.2">
      <c r="A33" t="s">
        <v>19</v>
      </c>
      <c r="B33" t="s">
        <v>33</v>
      </c>
      <c r="C33">
        <f>Cement_YearlyProduction!B33/8760</f>
        <v>401.59817351598173</v>
      </c>
    </row>
    <row r="34" spans="1:3" x14ac:dyDescent="0.2">
      <c r="A34" t="s">
        <v>26</v>
      </c>
      <c r="B34" t="s">
        <v>33</v>
      </c>
      <c r="C34">
        <f>Cement_YearlyProduction!B34/8760</f>
        <v>79.908675799086751</v>
      </c>
    </row>
    <row r="35" spans="1:3" x14ac:dyDescent="0.2">
      <c r="A35" t="s">
        <v>11</v>
      </c>
      <c r="B35" t="s">
        <v>33</v>
      </c>
      <c r="C35">
        <f>Cement_YearlyProduction!B35/8760</f>
        <v>1712.3287671232877</v>
      </c>
    </row>
    <row r="36" spans="1:3" x14ac:dyDescent="0.2">
      <c r="A36" t="s">
        <v>16</v>
      </c>
      <c r="B36" t="s">
        <v>33</v>
      </c>
      <c r="C36">
        <f>Cement_YearlyProduction!B36/8760</f>
        <v>319.634703196347</v>
      </c>
    </row>
    <row r="37" spans="1:3" x14ac:dyDescent="0.2">
      <c r="A37" t="s">
        <v>53</v>
      </c>
      <c r="B37" t="s">
        <v>33</v>
      </c>
      <c r="C37">
        <f>Cement_YearlyProduction!B37/8760</f>
        <v>522.83105022831046</v>
      </c>
    </row>
    <row r="38" spans="1:3" x14ac:dyDescent="0.2">
      <c r="A38" t="s">
        <v>18</v>
      </c>
      <c r="B38" t="s">
        <v>33</v>
      </c>
      <c r="C38">
        <f>Cement_YearlyProduction!B38/8760</f>
        <v>1073.0593607305937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6C876-5DF1-E947-831E-99D3EF892BF2}">
  <dimension ref="A1:C11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t="s">
        <v>99</v>
      </c>
    </row>
    <row r="2" spans="1:3" x14ac:dyDescent="0.2">
      <c r="A2" t="s">
        <v>101</v>
      </c>
    </row>
    <row r="3" spans="1:3" x14ac:dyDescent="0.2">
      <c r="A3" t="s">
        <v>98</v>
      </c>
      <c r="B3" t="s">
        <v>2</v>
      </c>
      <c r="C3" t="s">
        <v>100</v>
      </c>
    </row>
    <row r="4" spans="1:3" x14ac:dyDescent="0.2">
      <c r="A4" t="s">
        <v>33</v>
      </c>
      <c r="B4">
        <v>1</v>
      </c>
      <c r="C4">
        <f>0.2</f>
        <v>0.2</v>
      </c>
    </row>
    <row r="5" spans="1:3" x14ac:dyDescent="0.2">
      <c r="A5" t="s">
        <v>33</v>
      </c>
      <c r="B5">
        <v>2</v>
      </c>
      <c r="C5">
        <f>C4+0.2</f>
        <v>0.4</v>
      </c>
    </row>
    <row r="6" spans="1:3" x14ac:dyDescent="0.2">
      <c r="A6" t="s">
        <v>33</v>
      </c>
      <c r="B6">
        <v>3</v>
      </c>
      <c r="C6">
        <f t="shared" ref="C6:C8" si="0">C5+0.2</f>
        <v>0.60000000000000009</v>
      </c>
    </row>
    <row r="7" spans="1:3" x14ac:dyDescent="0.2">
      <c r="A7" t="s">
        <v>33</v>
      </c>
      <c r="B7">
        <v>4</v>
      </c>
      <c r="C7">
        <f t="shared" si="0"/>
        <v>0.8</v>
      </c>
    </row>
    <row r="8" spans="1:3" x14ac:dyDescent="0.2">
      <c r="A8" t="s">
        <v>33</v>
      </c>
      <c r="B8">
        <v>5</v>
      </c>
      <c r="C8">
        <f t="shared" si="0"/>
        <v>1</v>
      </c>
    </row>
    <row r="9" spans="1:3" x14ac:dyDescent="0.2">
      <c r="A9" t="s">
        <v>33</v>
      </c>
      <c r="B9">
        <v>6</v>
      </c>
      <c r="C9">
        <v>1</v>
      </c>
    </row>
    <row r="10" spans="1:3" x14ac:dyDescent="0.2">
      <c r="A10" t="s">
        <v>33</v>
      </c>
      <c r="B10">
        <v>7</v>
      </c>
      <c r="C10">
        <v>1</v>
      </c>
    </row>
    <row r="11" spans="1:3" x14ac:dyDescent="0.2">
      <c r="A11" t="s">
        <v>33</v>
      </c>
      <c r="B11">
        <v>8</v>
      </c>
      <c r="C11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A28F-17E0-884F-AB11-DD1FB566EFDF}">
  <dimension ref="A1:J27"/>
  <sheetViews>
    <sheetView workbookViewId="0">
      <selection activeCell="G20" sqref="G20"/>
    </sheetView>
  </sheetViews>
  <sheetFormatPr baseColWidth="10" defaultRowHeight="16" x14ac:dyDescent="0.2"/>
  <sheetData>
    <row r="1" spans="1:10" x14ac:dyDescent="0.2">
      <c r="A1" t="s">
        <v>114</v>
      </c>
    </row>
    <row r="2" spans="1:10" x14ac:dyDescent="0.2">
      <c r="A2" t="s">
        <v>113</v>
      </c>
    </row>
    <row r="3" spans="1:10" x14ac:dyDescent="0.2">
      <c r="A3" t="s">
        <v>98</v>
      </c>
      <c r="B3" t="s">
        <v>2</v>
      </c>
      <c r="C3" t="s">
        <v>112</v>
      </c>
      <c r="G3" t="s">
        <v>140</v>
      </c>
    </row>
    <row r="4" spans="1:10" x14ac:dyDescent="0.2">
      <c r="A4" t="s">
        <v>33</v>
      </c>
      <c r="B4">
        <v>1</v>
      </c>
      <c r="C4">
        <f>G4*8760</f>
        <v>2598741.6</v>
      </c>
      <c r="G4">
        <v>296.66000000000003</v>
      </c>
      <c r="J4" t="s">
        <v>116</v>
      </c>
    </row>
    <row r="5" spans="1:10" x14ac:dyDescent="0.2">
      <c r="A5" t="s">
        <v>33</v>
      </c>
      <c r="B5">
        <v>2</v>
      </c>
      <c r="C5">
        <f t="shared" ref="C5:C27" si="0">G5*8760</f>
        <v>2598741.6</v>
      </c>
      <c r="G5">
        <v>296.66000000000003</v>
      </c>
    </row>
    <row r="6" spans="1:10" x14ac:dyDescent="0.2">
      <c r="A6" t="s">
        <v>33</v>
      </c>
      <c r="B6">
        <v>3</v>
      </c>
      <c r="C6">
        <f t="shared" si="0"/>
        <v>2598741.6</v>
      </c>
      <c r="G6">
        <v>296.66000000000003</v>
      </c>
    </row>
    <row r="7" spans="1:10" x14ac:dyDescent="0.2">
      <c r="A7" t="s">
        <v>33</v>
      </c>
      <c r="B7">
        <v>4</v>
      </c>
      <c r="C7">
        <f t="shared" si="0"/>
        <v>2598741.6</v>
      </c>
      <c r="G7">
        <v>296.66000000000003</v>
      </c>
    </row>
    <row r="8" spans="1:10" x14ac:dyDescent="0.2">
      <c r="A8" t="s">
        <v>33</v>
      </c>
      <c r="B8">
        <v>5</v>
      </c>
      <c r="C8">
        <f t="shared" si="0"/>
        <v>2598741.6</v>
      </c>
      <c r="G8">
        <v>296.66000000000003</v>
      </c>
    </row>
    <row r="9" spans="1:10" x14ac:dyDescent="0.2">
      <c r="A9" t="s">
        <v>33</v>
      </c>
      <c r="B9">
        <v>6</v>
      </c>
      <c r="C9">
        <f t="shared" si="0"/>
        <v>2598741.6</v>
      </c>
      <c r="G9">
        <v>296.66000000000003</v>
      </c>
    </row>
    <row r="10" spans="1:10" x14ac:dyDescent="0.2">
      <c r="A10" t="s">
        <v>33</v>
      </c>
      <c r="B10">
        <v>7</v>
      </c>
      <c r="C10">
        <f t="shared" si="0"/>
        <v>2598741.6</v>
      </c>
      <c r="G10">
        <v>296.66000000000003</v>
      </c>
    </row>
    <row r="11" spans="1:10" x14ac:dyDescent="0.2">
      <c r="A11" t="s">
        <v>33</v>
      </c>
      <c r="B11">
        <v>8</v>
      </c>
      <c r="C11">
        <f t="shared" si="0"/>
        <v>2598741.6</v>
      </c>
      <c r="G11">
        <v>296.66000000000003</v>
      </c>
    </row>
    <row r="12" spans="1:10" x14ac:dyDescent="0.2">
      <c r="A12" t="s">
        <v>34</v>
      </c>
      <c r="B12">
        <v>1</v>
      </c>
      <c r="C12">
        <f t="shared" si="0"/>
        <v>2598741.6</v>
      </c>
      <c r="G12">
        <v>296.66000000000003</v>
      </c>
    </row>
    <row r="13" spans="1:10" x14ac:dyDescent="0.2">
      <c r="A13" t="s">
        <v>34</v>
      </c>
      <c r="B13">
        <v>2</v>
      </c>
      <c r="C13">
        <f t="shared" si="0"/>
        <v>2598741.6</v>
      </c>
      <c r="G13">
        <v>296.66000000000003</v>
      </c>
    </row>
    <row r="14" spans="1:10" x14ac:dyDescent="0.2">
      <c r="A14" t="s">
        <v>34</v>
      </c>
      <c r="B14">
        <v>3</v>
      </c>
      <c r="C14">
        <f t="shared" si="0"/>
        <v>2598741.6</v>
      </c>
      <c r="G14">
        <v>296.66000000000003</v>
      </c>
    </row>
    <row r="15" spans="1:10" x14ac:dyDescent="0.2">
      <c r="A15" t="s">
        <v>34</v>
      </c>
      <c r="B15">
        <v>4</v>
      </c>
      <c r="C15">
        <f t="shared" si="0"/>
        <v>2598741.6</v>
      </c>
      <c r="G15">
        <v>296.66000000000003</v>
      </c>
    </row>
    <row r="16" spans="1:10" x14ac:dyDescent="0.2">
      <c r="A16" t="s">
        <v>34</v>
      </c>
      <c r="B16">
        <v>5</v>
      </c>
      <c r="C16">
        <f t="shared" si="0"/>
        <v>2598741.6</v>
      </c>
      <c r="G16">
        <v>296.66000000000003</v>
      </c>
    </row>
    <row r="17" spans="1:7" x14ac:dyDescent="0.2">
      <c r="A17" t="s">
        <v>34</v>
      </c>
      <c r="B17">
        <v>6</v>
      </c>
      <c r="C17">
        <f t="shared" si="0"/>
        <v>2598741.6</v>
      </c>
      <c r="G17">
        <v>296.66000000000003</v>
      </c>
    </row>
    <row r="18" spans="1:7" x14ac:dyDescent="0.2">
      <c r="A18" t="s">
        <v>34</v>
      </c>
      <c r="B18">
        <v>7</v>
      </c>
      <c r="C18">
        <f t="shared" si="0"/>
        <v>2598741.6</v>
      </c>
      <c r="G18">
        <v>296.66000000000003</v>
      </c>
    </row>
    <row r="19" spans="1:7" x14ac:dyDescent="0.2">
      <c r="A19" t="s">
        <v>34</v>
      </c>
      <c r="B19">
        <v>8</v>
      </c>
      <c r="C19">
        <f t="shared" si="0"/>
        <v>2598741.6</v>
      </c>
      <c r="G19">
        <v>296.66000000000003</v>
      </c>
    </row>
    <row r="20" spans="1:7" x14ac:dyDescent="0.2">
      <c r="A20" t="s">
        <v>141</v>
      </c>
      <c r="B20">
        <v>1</v>
      </c>
      <c r="C20">
        <f t="shared" si="0"/>
        <v>4888080</v>
      </c>
      <c r="G20">
        <v>558</v>
      </c>
    </row>
    <row r="21" spans="1:7" x14ac:dyDescent="0.2">
      <c r="A21" t="s">
        <v>141</v>
      </c>
      <c r="B21">
        <v>2</v>
      </c>
      <c r="C21">
        <f t="shared" si="0"/>
        <v>4888080</v>
      </c>
      <c r="G21">
        <v>558</v>
      </c>
    </row>
    <row r="22" spans="1:7" x14ac:dyDescent="0.2">
      <c r="A22" t="s">
        <v>141</v>
      </c>
      <c r="B22">
        <v>3</v>
      </c>
      <c r="C22">
        <f t="shared" si="0"/>
        <v>4888080</v>
      </c>
      <c r="G22">
        <v>558</v>
      </c>
    </row>
    <row r="23" spans="1:7" x14ac:dyDescent="0.2">
      <c r="A23" t="s">
        <v>141</v>
      </c>
      <c r="B23">
        <v>4</v>
      </c>
      <c r="C23">
        <f t="shared" si="0"/>
        <v>4888080</v>
      </c>
      <c r="G23">
        <v>558</v>
      </c>
    </row>
    <row r="24" spans="1:7" x14ac:dyDescent="0.2">
      <c r="A24" t="s">
        <v>141</v>
      </c>
      <c r="B24">
        <v>5</v>
      </c>
      <c r="C24">
        <f t="shared" si="0"/>
        <v>4888080</v>
      </c>
      <c r="G24">
        <v>558</v>
      </c>
    </row>
    <row r="25" spans="1:7" x14ac:dyDescent="0.2">
      <c r="A25" t="s">
        <v>141</v>
      </c>
      <c r="B25">
        <v>6</v>
      </c>
      <c r="C25">
        <f t="shared" si="0"/>
        <v>4888080</v>
      </c>
      <c r="G25">
        <v>558</v>
      </c>
    </row>
    <row r="26" spans="1:7" x14ac:dyDescent="0.2">
      <c r="A26" t="s">
        <v>141</v>
      </c>
      <c r="B26">
        <v>7</v>
      </c>
      <c r="C26">
        <f t="shared" si="0"/>
        <v>4888080</v>
      </c>
      <c r="G26">
        <v>558</v>
      </c>
    </row>
    <row r="27" spans="1:7" x14ac:dyDescent="0.2">
      <c r="A27" t="s">
        <v>141</v>
      </c>
      <c r="B27">
        <v>8</v>
      </c>
      <c r="C27">
        <f t="shared" si="0"/>
        <v>4888080</v>
      </c>
      <c r="G27">
        <v>558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456E-2D1E-9148-9CB4-2DED36B8DFC0}">
  <dimension ref="A1:C27"/>
  <sheetViews>
    <sheetView workbookViewId="0"/>
  </sheetViews>
  <sheetFormatPr baseColWidth="10" defaultRowHeight="16" x14ac:dyDescent="0.2"/>
  <sheetData>
    <row r="1" spans="1:3" x14ac:dyDescent="0.2">
      <c r="A1" t="s">
        <v>114</v>
      </c>
    </row>
    <row r="2" spans="1:3" x14ac:dyDescent="0.2">
      <c r="A2" t="s">
        <v>115</v>
      </c>
    </row>
    <row r="3" spans="1:3" x14ac:dyDescent="0.2">
      <c r="A3" t="s">
        <v>98</v>
      </c>
      <c r="B3" t="s">
        <v>2</v>
      </c>
      <c r="C3" t="s">
        <v>128</v>
      </c>
    </row>
    <row r="4" spans="1:3" x14ac:dyDescent="0.2">
      <c r="A4" t="s">
        <v>33</v>
      </c>
      <c r="B4">
        <v>1</v>
      </c>
      <c r="C4">
        <f>0.135*Cement_InvCost!C4</f>
        <v>350830.11600000004</v>
      </c>
    </row>
    <row r="5" spans="1:3" x14ac:dyDescent="0.2">
      <c r="A5" t="s">
        <v>33</v>
      </c>
      <c r="B5">
        <v>2</v>
      </c>
      <c r="C5">
        <f>0.135*Cement_InvCost!C5</f>
        <v>350830.11600000004</v>
      </c>
    </row>
    <row r="6" spans="1:3" x14ac:dyDescent="0.2">
      <c r="A6" t="s">
        <v>33</v>
      </c>
      <c r="B6">
        <v>3</v>
      </c>
      <c r="C6">
        <f>0.135*Cement_InvCost!C6</f>
        <v>350830.11600000004</v>
      </c>
    </row>
    <row r="7" spans="1:3" x14ac:dyDescent="0.2">
      <c r="A7" t="s">
        <v>33</v>
      </c>
      <c r="B7">
        <v>4</v>
      </c>
      <c r="C7">
        <f>0.135*Cement_InvCost!C7</f>
        <v>350830.11600000004</v>
      </c>
    </row>
    <row r="8" spans="1:3" x14ac:dyDescent="0.2">
      <c r="A8" t="s">
        <v>33</v>
      </c>
      <c r="B8">
        <v>5</v>
      </c>
      <c r="C8">
        <f>0.135*Cement_InvCost!C8</f>
        <v>350830.11600000004</v>
      </c>
    </row>
    <row r="9" spans="1:3" x14ac:dyDescent="0.2">
      <c r="A9" t="s">
        <v>33</v>
      </c>
      <c r="B9">
        <v>6</v>
      </c>
      <c r="C9">
        <f>0.135*Cement_InvCost!C9</f>
        <v>350830.11600000004</v>
      </c>
    </row>
    <row r="10" spans="1:3" x14ac:dyDescent="0.2">
      <c r="A10" t="s">
        <v>33</v>
      </c>
      <c r="B10">
        <v>7</v>
      </c>
      <c r="C10">
        <f>0.135*Cement_InvCost!C10</f>
        <v>350830.11600000004</v>
      </c>
    </row>
    <row r="11" spans="1:3" x14ac:dyDescent="0.2">
      <c r="A11" t="s">
        <v>33</v>
      </c>
      <c r="B11">
        <v>8</v>
      </c>
      <c r="C11">
        <f>0.135*Cement_InvCost!C11</f>
        <v>350830.11600000004</v>
      </c>
    </row>
    <row r="12" spans="1:3" x14ac:dyDescent="0.2">
      <c r="A12" t="s">
        <v>34</v>
      </c>
      <c r="B12">
        <v>1</v>
      </c>
      <c r="C12">
        <f>0.135*Cement_InvCost!C12</f>
        <v>350830.11600000004</v>
      </c>
    </row>
    <row r="13" spans="1:3" x14ac:dyDescent="0.2">
      <c r="A13" t="s">
        <v>34</v>
      </c>
      <c r="B13">
        <v>2</v>
      </c>
      <c r="C13">
        <f>0.135*Cement_InvCost!C13</f>
        <v>350830.11600000004</v>
      </c>
    </row>
    <row r="14" spans="1:3" x14ac:dyDescent="0.2">
      <c r="A14" t="s">
        <v>34</v>
      </c>
      <c r="B14">
        <v>3</v>
      </c>
      <c r="C14">
        <f>0.135*Cement_InvCost!C14</f>
        <v>350830.11600000004</v>
      </c>
    </row>
    <row r="15" spans="1:3" x14ac:dyDescent="0.2">
      <c r="A15" t="s">
        <v>34</v>
      </c>
      <c r="B15">
        <v>4</v>
      </c>
      <c r="C15">
        <f>0.135*Cement_InvCost!C15</f>
        <v>350830.11600000004</v>
      </c>
    </row>
    <row r="16" spans="1:3" x14ac:dyDescent="0.2">
      <c r="A16" t="s">
        <v>34</v>
      </c>
      <c r="B16">
        <v>5</v>
      </c>
      <c r="C16">
        <f>0.135*Cement_InvCost!C16</f>
        <v>350830.11600000004</v>
      </c>
    </row>
    <row r="17" spans="1:3" x14ac:dyDescent="0.2">
      <c r="A17" t="s">
        <v>34</v>
      </c>
      <c r="B17">
        <v>6</v>
      </c>
      <c r="C17">
        <f>0.135*Cement_InvCost!C17</f>
        <v>350830.11600000004</v>
      </c>
    </row>
    <row r="18" spans="1:3" x14ac:dyDescent="0.2">
      <c r="A18" t="s">
        <v>34</v>
      </c>
      <c r="B18">
        <v>7</v>
      </c>
      <c r="C18">
        <f>0.135*Cement_InvCost!C18</f>
        <v>350830.11600000004</v>
      </c>
    </row>
    <row r="19" spans="1:3" x14ac:dyDescent="0.2">
      <c r="A19" t="s">
        <v>34</v>
      </c>
      <c r="B19">
        <v>8</v>
      </c>
      <c r="C19">
        <f>0.135*Cement_InvCost!C19</f>
        <v>350830.11600000004</v>
      </c>
    </row>
    <row r="20" spans="1:3" x14ac:dyDescent="0.2">
      <c r="A20" t="s">
        <v>141</v>
      </c>
      <c r="B20">
        <v>1</v>
      </c>
      <c r="C20">
        <f>0.135*Cement_InvCost!C20</f>
        <v>659890.80000000005</v>
      </c>
    </row>
    <row r="21" spans="1:3" x14ac:dyDescent="0.2">
      <c r="A21" t="s">
        <v>141</v>
      </c>
      <c r="B21">
        <v>2</v>
      </c>
      <c r="C21">
        <f>0.135*Cement_InvCost!C21</f>
        <v>659890.80000000005</v>
      </c>
    </row>
    <row r="22" spans="1:3" x14ac:dyDescent="0.2">
      <c r="A22" t="s">
        <v>141</v>
      </c>
      <c r="B22">
        <v>3</v>
      </c>
      <c r="C22">
        <f>0.135*Cement_InvCost!C22</f>
        <v>659890.80000000005</v>
      </c>
    </row>
    <row r="23" spans="1:3" x14ac:dyDescent="0.2">
      <c r="A23" t="s">
        <v>141</v>
      </c>
      <c r="B23">
        <v>4</v>
      </c>
      <c r="C23">
        <f>0.135*Cement_InvCost!C23</f>
        <v>659890.80000000005</v>
      </c>
    </row>
    <row r="24" spans="1:3" x14ac:dyDescent="0.2">
      <c r="A24" t="s">
        <v>141</v>
      </c>
      <c r="B24">
        <v>5</v>
      </c>
      <c r="C24">
        <f>0.135*Cement_InvCost!C24</f>
        <v>659890.80000000005</v>
      </c>
    </row>
    <row r="25" spans="1:3" x14ac:dyDescent="0.2">
      <c r="A25" t="s">
        <v>141</v>
      </c>
      <c r="B25">
        <v>6</v>
      </c>
      <c r="C25">
        <f>0.135*Cement_InvCost!C25</f>
        <v>659890.80000000005</v>
      </c>
    </row>
    <row r="26" spans="1:3" x14ac:dyDescent="0.2">
      <c r="A26" t="s">
        <v>141</v>
      </c>
      <c r="B26">
        <v>7</v>
      </c>
      <c r="C26">
        <f>0.135*Cement_InvCost!C26</f>
        <v>659890.80000000005</v>
      </c>
    </row>
    <row r="27" spans="1:3" x14ac:dyDescent="0.2">
      <c r="A27" t="s">
        <v>141</v>
      </c>
      <c r="B27">
        <v>8</v>
      </c>
      <c r="C27">
        <f>0.135*Cement_InvCost!C27</f>
        <v>659890.80000000005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A0FA-1862-6449-BB22-49E8E683BBC3}">
  <dimension ref="A1:H43"/>
  <sheetViews>
    <sheetView workbookViewId="0">
      <selection activeCell="S44" sqref="S44"/>
    </sheetView>
  </sheetViews>
  <sheetFormatPr baseColWidth="10" defaultRowHeight="16" x14ac:dyDescent="0.2"/>
  <sheetData>
    <row r="1" spans="1:8" x14ac:dyDescent="0.2">
      <c r="A1" t="s">
        <v>137</v>
      </c>
    </row>
    <row r="2" spans="1:8" x14ac:dyDescent="0.2">
      <c r="A2" t="s">
        <v>132</v>
      </c>
    </row>
    <row r="3" spans="1:8" x14ac:dyDescent="0.2">
      <c r="A3" s="2" t="s">
        <v>6</v>
      </c>
      <c r="B3" t="s">
        <v>98</v>
      </c>
      <c r="C3" t="s">
        <v>133</v>
      </c>
      <c r="H3" t="s">
        <v>138</v>
      </c>
    </row>
    <row r="4" spans="1:8" x14ac:dyDescent="0.2">
      <c r="A4" s="2" t="s">
        <v>8</v>
      </c>
      <c r="B4" t="s">
        <v>1</v>
      </c>
      <c r="C4">
        <f>H4/8760*10^3</f>
        <v>3305.9360730593608</v>
      </c>
      <c r="H4">
        <f>3800+2760+11560+2400+5200+3240</f>
        <v>28960</v>
      </c>
    </row>
    <row r="5" spans="1:8" x14ac:dyDescent="0.2">
      <c r="A5" s="2" t="s">
        <v>9</v>
      </c>
      <c r="B5" t="s">
        <v>1</v>
      </c>
      <c r="C5">
        <f t="shared" ref="C5:C43" si="0">H5/8760*10^3</f>
        <v>1312.785388127854</v>
      </c>
      <c r="H5">
        <f>11500</f>
        <v>11500</v>
      </c>
    </row>
    <row r="6" spans="1:8" x14ac:dyDescent="0.2">
      <c r="A6" s="2" t="s">
        <v>10</v>
      </c>
      <c r="B6" t="s">
        <v>1</v>
      </c>
      <c r="C6">
        <f t="shared" si="0"/>
        <v>1352.7397260273972</v>
      </c>
      <c r="H6">
        <f>6750+5100</f>
        <v>11850</v>
      </c>
    </row>
    <row r="7" spans="1:8" x14ac:dyDescent="0.2">
      <c r="A7" s="2" t="s">
        <v>11</v>
      </c>
      <c r="B7" t="s">
        <v>1</v>
      </c>
      <c r="C7">
        <f t="shared" si="0"/>
        <v>616.43835616438355</v>
      </c>
      <c r="H7">
        <f>4200+1200</f>
        <v>5400</v>
      </c>
    </row>
    <row r="8" spans="1:8" x14ac:dyDescent="0.2">
      <c r="A8" s="2" t="s">
        <v>12</v>
      </c>
      <c r="B8" t="s">
        <v>1</v>
      </c>
      <c r="C8">
        <f t="shared" si="0"/>
        <v>867.57990867579906</v>
      </c>
      <c r="H8">
        <f>5000+2600</f>
        <v>7600</v>
      </c>
    </row>
    <row r="9" spans="1:8" x14ac:dyDescent="0.2">
      <c r="A9" s="2" t="s">
        <v>13</v>
      </c>
      <c r="B9" t="s">
        <v>1</v>
      </c>
      <c r="C9">
        <f t="shared" si="0"/>
        <v>570.77625570776263</v>
      </c>
      <c r="H9">
        <f>5000</f>
        <v>5000</v>
      </c>
    </row>
    <row r="10" spans="1:8" x14ac:dyDescent="0.2">
      <c r="A10" s="2" t="s">
        <v>14</v>
      </c>
      <c r="B10" t="s">
        <v>1</v>
      </c>
      <c r="C10">
        <f t="shared" si="0"/>
        <v>864.15525114155253</v>
      </c>
      <c r="H10">
        <f>1570+6000</f>
        <v>7570</v>
      </c>
    </row>
    <row r="11" spans="1:8" x14ac:dyDescent="0.2">
      <c r="A11" s="2" t="s">
        <v>18</v>
      </c>
      <c r="B11" t="s">
        <v>1</v>
      </c>
      <c r="C11">
        <f t="shared" si="0"/>
        <v>924.65753424657532</v>
      </c>
      <c r="H11">
        <f>4900+3200</f>
        <v>8100</v>
      </c>
    </row>
    <row r="12" spans="1:8" x14ac:dyDescent="0.2">
      <c r="A12" s="2" t="s">
        <v>15</v>
      </c>
      <c r="B12" t="s">
        <v>1</v>
      </c>
      <c r="C12">
        <f t="shared" si="0"/>
        <v>856.16438356164383</v>
      </c>
      <c r="H12">
        <f>7500</f>
        <v>7500</v>
      </c>
    </row>
    <row r="13" spans="1:8" x14ac:dyDescent="0.2">
      <c r="A13" s="2" t="s">
        <v>16</v>
      </c>
      <c r="B13" t="s">
        <v>1</v>
      </c>
      <c r="C13">
        <f t="shared" si="0"/>
        <v>445.20547945205482</v>
      </c>
      <c r="H13">
        <f>2200+1700</f>
        <v>3900</v>
      </c>
    </row>
    <row r="14" spans="1:8" x14ac:dyDescent="0.2">
      <c r="A14" s="2" t="s">
        <v>17</v>
      </c>
      <c r="B14" t="s">
        <v>1</v>
      </c>
      <c r="C14">
        <f t="shared" si="0"/>
        <v>273.97260273972603</v>
      </c>
      <c r="H14">
        <f>2400</f>
        <v>2400</v>
      </c>
    </row>
    <row r="15" spans="1:8" x14ac:dyDescent="0.2">
      <c r="A15" s="2" t="s">
        <v>19</v>
      </c>
      <c r="B15" t="s">
        <v>1</v>
      </c>
      <c r="C15">
        <f t="shared" si="0"/>
        <v>513.69863013698637</v>
      </c>
      <c r="H15">
        <f>4500</f>
        <v>4500</v>
      </c>
    </row>
    <row r="16" spans="1:8" x14ac:dyDescent="0.2">
      <c r="A16" s="2" t="s">
        <v>20</v>
      </c>
      <c r="B16" t="s">
        <v>1</v>
      </c>
      <c r="C16">
        <f t="shared" si="0"/>
        <v>296.80365296803649</v>
      </c>
      <c r="H16">
        <f>2600</f>
        <v>2600</v>
      </c>
    </row>
    <row r="17" spans="1:8" x14ac:dyDescent="0.2">
      <c r="A17" s="2" t="s">
        <v>21</v>
      </c>
      <c r="B17" t="s">
        <v>1</v>
      </c>
      <c r="C17">
        <f t="shared" si="0"/>
        <v>365.29680365296804</v>
      </c>
      <c r="H17">
        <f>3200</f>
        <v>3200</v>
      </c>
    </row>
    <row r="18" spans="1:8" x14ac:dyDescent="0.2">
      <c r="A18" s="2" t="s">
        <v>22</v>
      </c>
      <c r="B18" t="s">
        <v>1</v>
      </c>
      <c r="C18">
        <f t="shared" si="0"/>
        <v>0</v>
      </c>
      <c r="H18">
        <f>0</f>
        <v>0</v>
      </c>
    </row>
    <row r="19" spans="1:8" x14ac:dyDescent="0.2">
      <c r="A19" s="2" t="s">
        <v>23</v>
      </c>
      <c r="B19" t="s">
        <v>1</v>
      </c>
      <c r="C19">
        <f t="shared" si="0"/>
        <v>188.35616438356163</v>
      </c>
      <c r="H19">
        <f>1650</f>
        <v>1650</v>
      </c>
    </row>
    <row r="20" spans="1:8" x14ac:dyDescent="0.2">
      <c r="A20" s="2" t="s">
        <v>24</v>
      </c>
      <c r="B20" t="s">
        <v>1</v>
      </c>
      <c r="C20">
        <f t="shared" si="0"/>
        <v>0</v>
      </c>
      <c r="H20">
        <v>0</v>
      </c>
    </row>
    <row r="21" spans="1:8" x14ac:dyDescent="0.2">
      <c r="A21" s="2" t="s">
        <v>25</v>
      </c>
      <c r="B21" t="s">
        <v>1</v>
      </c>
      <c r="C21">
        <f t="shared" si="0"/>
        <v>0</v>
      </c>
      <c r="H21">
        <v>0</v>
      </c>
    </row>
    <row r="22" spans="1:8" x14ac:dyDescent="0.2">
      <c r="A22" s="2" t="s">
        <v>26</v>
      </c>
      <c r="B22" t="s">
        <v>1</v>
      </c>
      <c r="C22">
        <f t="shared" si="0"/>
        <v>0</v>
      </c>
      <c r="H22">
        <v>0</v>
      </c>
    </row>
    <row r="23" spans="1:8" x14ac:dyDescent="0.2">
      <c r="A23" s="2" t="s">
        <v>27</v>
      </c>
      <c r="B23" t="s">
        <v>1</v>
      </c>
      <c r="C23">
        <f t="shared" si="0"/>
        <v>0</v>
      </c>
      <c r="H23">
        <v>0</v>
      </c>
    </row>
    <row r="24" spans="1:8" x14ac:dyDescent="0.2">
      <c r="A24" s="2" t="s">
        <v>8</v>
      </c>
      <c r="B24" t="s">
        <v>135</v>
      </c>
      <c r="C24">
        <f t="shared" si="0"/>
        <v>1686.0730593607304</v>
      </c>
      <c r="H24">
        <f>350+1800+90+1100+100+1100+1000+1180+2500+620+1000+900+600+150+1100+300+400+480</f>
        <v>14770</v>
      </c>
    </row>
    <row r="25" spans="1:8" x14ac:dyDescent="0.2">
      <c r="A25" s="2" t="s">
        <v>9</v>
      </c>
      <c r="B25" t="s">
        <v>135</v>
      </c>
      <c r="C25">
        <f t="shared" si="0"/>
        <v>2570.7762557077626</v>
      </c>
      <c r="H25">
        <f>260+200+600+100+1200+650+600+780+500+250+3850+700+600+1100+600+150+900+2200+150+800+540+1450+500+770+450+1250+170+1200</f>
        <v>22520</v>
      </c>
    </row>
    <row r="26" spans="1:8" x14ac:dyDescent="0.2">
      <c r="A26" s="2" t="s">
        <v>10</v>
      </c>
      <c r="B26" t="s">
        <v>135</v>
      </c>
      <c r="C26">
        <f t="shared" si="0"/>
        <v>802.51141552511422</v>
      </c>
      <c r="H26">
        <f>1200+550+100+480+700+460+90+150+720+800+730+800+250</f>
        <v>7030</v>
      </c>
    </row>
    <row r="27" spans="1:8" x14ac:dyDescent="0.2">
      <c r="A27" s="2" t="s">
        <v>11</v>
      </c>
      <c r="B27" t="s">
        <v>135</v>
      </c>
      <c r="C27">
        <f t="shared" si="0"/>
        <v>1954.3378995433789</v>
      </c>
      <c r="H27">
        <f>150+360+800+740+1100+2400+400+600+1300+130+1200+700+2450+240+750+2000+1300+500</f>
        <v>17120</v>
      </c>
    </row>
    <row r="28" spans="1:8" x14ac:dyDescent="0.2">
      <c r="A28" s="2" t="s">
        <v>12</v>
      </c>
      <c r="B28" t="s">
        <v>135</v>
      </c>
      <c r="C28">
        <f t="shared" si="0"/>
        <v>512.55707762557074</v>
      </c>
      <c r="H28">
        <f>145+800+250+65+900+240+750+1340</f>
        <v>4490</v>
      </c>
    </row>
    <row r="29" spans="1:8" x14ac:dyDescent="0.2">
      <c r="A29" s="2" t="s">
        <v>13</v>
      </c>
      <c r="B29" t="s">
        <v>135</v>
      </c>
      <c r="C29">
        <f t="shared" si="0"/>
        <v>388.1278538812785</v>
      </c>
      <c r="H29">
        <f>850+350+1000+1200</f>
        <v>3400</v>
      </c>
    </row>
    <row r="30" spans="1:8" x14ac:dyDescent="0.2">
      <c r="A30" s="2" t="s">
        <v>14</v>
      </c>
      <c r="B30" t="s">
        <v>135</v>
      </c>
      <c r="C30">
        <f t="shared" si="0"/>
        <v>96.461187214611869</v>
      </c>
      <c r="H30">
        <f>365+180+300</f>
        <v>845</v>
      </c>
    </row>
    <row r="31" spans="1:8" x14ac:dyDescent="0.2">
      <c r="A31" s="2" t="s">
        <v>18</v>
      </c>
      <c r="B31" t="s">
        <v>135</v>
      </c>
      <c r="C31">
        <f t="shared" si="0"/>
        <v>350.45662100456622</v>
      </c>
      <c r="H31">
        <f>1220+150+500+1200</f>
        <v>3070</v>
      </c>
    </row>
    <row r="32" spans="1:8" x14ac:dyDescent="0.2">
      <c r="A32" s="2" t="s">
        <v>15</v>
      </c>
      <c r="B32" t="s">
        <v>135</v>
      </c>
      <c r="C32">
        <f t="shared" si="0"/>
        <v>0</v>
      </c>
      <c r="H32">
        <f>0</f>
        <v>0</v>
      </c>
    </row>
    <row r="33" spans="1:8" x14ac:dyDescent="0.2">
      <c r="A33" s="2" t="s">
        <v>16</v>
      </c>
      <c r="B33" t="s">
        <v>135</v>
      </c>
      <c r="C33">
        <f t="shared" si="0"/>
        <v>216.32420091324201</v>
      </c>
      <c r="H33">
        <f>500+95+120+500+200+480</f>
        <v>1895</v>
      </c>
    </row>
    <row r="34" spans="1:8" x14ac:dyDescent="0.2">
      <c r="A34" s="2" t="s">
        <v>17</v>
      </c>
      <c r="B34" t="s">
        <v>135</v>
      </c>
      <c r="C34">
        <f t="shared" si="0"/>
        <v>30.821917808219176</v>
      </c>
      <c r="H34">
        <f>120+150</f>
        <v>270</v>
      </c>
    </row>
    <row r="35" spans="1:8" x14ac:dyDescent="0.2">
      <c r="A35" s="2" t="s">
        <v>19</v>
      </c>
      <c r="B35" t="s">
        <v>135</v>
      </c>
      <c r="C35">
        <f t="shared" si="0"/>
        <v>39.954337899543376</v>
      </c>
      <c r="H35">
        <f>350</f>
        <v>350</v>
      </c>
    </row>
    <row r="36" spans="1:8" x14ac:dyDescent="0.2">
      <c r="A36" s="2" t="s">
        <v>20</v>
      </c>
      <c r="B36" t="s">
        <v>135</v>
      </c>
      <c r="C36">
        <f t="shared" si="0"/>
        <v>189.49771689497715</v>
      </c>
      <c r="H36">
        <f>360+1300</f>
        <v>1660</v>
      </c>
    </row>
    <row r="37" spans="1:8" x14ac:dyDescent="0.2">
      <c r="A37" s="2" t="s">
        <v>21</v>
      </c>
      <c r="B37" t="s">
        <v>135</v>
      </c>
      <c r="C37">
        <f t="shared" si="0"/>
        <v>177.28310502283105</v>
      </c>
      <c r="H37">
        <f>470+550+83+450</f>
        <v>1553</v>
      </c>
    </row>
    <row r="38" spans="1:8" x14ac:dyDescent="0.2">
      <c r="A38" s="2" t="s">
        <v>22</v>
      </c>
      <c r="B38" t="s">
        <v>135</v>
      </c>
      <c r="C38">
        <f t="shared" si="0"/>
        <v>256.84931506849318</v>
      </c>
      <c r="H38">
        <f>2250</f>
        <v>2250</v>
      </c>
    </row>
    <row r="39" spans="1:8" x14ac:dyDescent="0.2">
      <c r="A39" s="2" t="s">
        <v>23</v>
      </c>
      <c r="B39" t="s">
        <v>135</v>
      </c>
      <c r="C39">
        <f t="shared" si="0"/>
        <v>45.662100456621005</v>
      </c>
      <c r="H39">
        <f>400</f>
        <v>400</v>
      </c>
    </row>
    <row r="40" spans="1:8" x14ac:dyDescent="0.2">
      <c r="A40" s="2" t="s">
        <v>24</v>
      </c>
      <c r="B40" t="s">
        <v>135</v>
      </c>
      <c r="C40">
        <f t="shared" si="0"/>
        <v>393.83561643835617</v>
      </c>
      <c r="H40">
        <f>1200+400+800+600+450</f>
        <v>3450</v>
      </c>
    </row>
    <row r="41" spans="1:8" x14ac:dyDescent="0.2">
      <c r="A41" s="2" t="s">
        <v>25</v>
      </c>
      <c r="B41" t="s">
        <v>135</v>
      </c>
      <c r="C41">
        <f t="shared" si="0"/>
        <v>114.15525114155251</v>
      </c>
      <c r="H41">
        <f>1000</f>
        <v>1000</v>
      </c>
    </row>
    <row r="42" spans="1:8" x14ac:dyDescent="0.2">
      <c r="A42" s="2" t="s">
        <v>26</v>
      </c>
      <c r="B42" t="s">
        <v>135</v>
      </c>
      <c r="C42">
        <f t="shared" si="0"/>
        <v>90.182648401826484</v>
      </c>
      <c r="H42">
        <f>150+500+140</f>
        <v>790</v>
      </c>
    </row>
    <row r="43" spans="1:8" x14ac:dyDescent="0.2">
      <c r="A43" s="2" t="s">
        <v>27</v>
      </c>
      <c r="B43" t="s">
        <v>135</v>
      </c>
      <c r="C43">
        <f t="shared" si="0"/>
        <v>61.073059360730589</v>
      </c>
      <c r="H43">
        <f>350+185</f>
        <v>535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0BF8E-244C-D84F-8D4C-46EC58209296}">
  <dimension ref="A1:L27"/>
  <sheetViews>
    <sheetView workbookViewId="0">
      <selection activeCell="A20" sqref="A20"/>
    </sheetView>
  </sheetViews>
  <sheetFormatPr baseColWidth="10" defaultRowHeight="16" x14ac:dyDescent="0.2"/>
  <sheetData>
    <row r="1" spans="1:12" x14ac:dyDescent="0.2">
      <c r="A1" t="s">
        <v>36</v>
      </c>
    </row>
    <row r="2" spans="1:12" x14ac:dyDescent="0.2">
      <c r="A2" t="s">
        <v>63</v>
      </c>
    </row>
    <row r="3" spans="1:12" x14ac:dyDescent="0.2">
      <c r="A3" t="s">
        <v>35</v>
      </c>
      <c r="B3" t="s">
        <v>2</v>
      </c>
      <c r="C3" t="s">
        <v>4</v>
      </c>
      <c r="F3" t="s">
        <v>37</v>
      </c>
      <c r="G3" t="s">
        <v>38</v>
      </c>
      <c r="H3" t="s">
        <v>39</v>
      </c>
      <c r="K3" t="s">
        <v>40</v>
      </c>
      <c r="L3" t="s">
        <v>43</v>
      </c>
    </row>
    <row r="4" spans="1:12" x14ac:dyDescent="0.2">
      <c r="A4" t="s">
        <v>33</v>
      </c>
      <c r="B4">
        <v>1</v>
      </c>
      <c r="C4">
        <f>1000*H4/$L$4</f>
        <v>105</v>
      </c>
      <c r="F4">
        <v>3.5</v>
      </c>
      <c r="G4">
        <f>2/3</f>
        <v>0.66666666666666663</v>
      </c>
      <c r="H4">
        <f>F4/G4</f>
        <v>5.25</v>
      </c>
      <c r="K4" t="s">
        <v>41</v>
      </c>
      <c r="L4">
        <v>50</v>
      </c>
    </row>
    <row r="5" spans="1:12" x14ac:dyDescent="0.2">
      <c r="A5" t="s">
        <v>33</v>
      </c>
      <c r="B5">
        <v>2</v>
      </c>
      <c r="C5">
        <f t="shared" ref="C5:C11" si="0">1000*H5/$L$4</f>
        <v>105</v>
      </c>
      <c r="F5">
        <v>3.5</v>
      </c>
      <c r="G5">
        <f t="shared" ref="G5:G27" si="1">2/3</f>
        <v>0.66666666666666663</v>
      </c>
      <c r="H5">
        <f t="shared" ref="H5:H19" si="2">F5/G5</f>
        <v>5.25</v>
      </c>
      <c r="K5" t="s">
        <v>42</v>
      </c>
      <c r="L5">
        <v>120</v>
      </c>
    </row>
    <row r="6" spans="1:12" x14ac:dyDescent="0.2">
      <c r="A6" t="s">
        <v>33</v>
      </c>
      <c r="B6">
        <v>3</v>
      </c>
      <c r="C6">
        <f t="shared" si="0"/>
        <v>102.00000000000001</v>
      </c>
      <c r="F6">
        <v>3.4</v>
      </c>
      <c r="G6">
        <f t="shared" si="1"/>
        <v>0.66666666666666663</v>
      </c>
      <c r="H6">
        <f t="shared" si="2"/>
        <v>5.1000000000000005</v>
      </c>
    </row>
    <row r="7" spans="1:12" x14ac:dyDescent="0.2">
      <c r="A7" t="s">
        <v>33</v>
      </c>
      <c r="B7">
        <v>4</v>
      </c>
      <c r="C7">
        <f t="shared" si="0"/>
        <v>102.00000000000001</v>
      </c>
      <c r="F7">
        <v>3.4</v>
      </c>
      <c r="G7">
        <f t="shared" si="1"/>
        <v>0.66666666666666663</v>
      </c>
      <c r="H7">
        <f t="shared" si="2"/>
        <v>5.1000000000000005</v>
      </c>
    </row>
    <row r="8" spans="1:12" x14ac:dyDescent="0.2">
      <c r="A8" t="s">
        <v>33</v>
      </c>
      <c r="B8">
        <v>5</v>
      </c>
      <c r="C8">
        <f t="shared" si="0"/>
        <v>99</v>
      </c>
      <c r="F8">
        <v>3.3</v>
      </c>
      <c r="G8">
        <f t="shared" si="1"/>
        <v>0.66666666666666663</v>
      </c>
      <c r="H8">
        <f t="shared" si="2"/>
        <v>4.95</v>
      </c>
    </row>
    <row r="9" spans="1:12" x14ac:dyDescent="0.2">
      <c r="A9" t="s">
        <v>33</v>
      </c>
      <c r="B9">
        <v>6</v>
      </c>
      <c r="C9">
        <f t="shared" si="0"/>
        <v>99</v>
      </c>
      <c r="F9">
        <v>3.3</v>
      </c>
      <c r="G9">
        <f t="shared" si="1"/>
        <v>0.66666666666666663</v>
      </c>
      <c r="H9">
        <f t="shared" si="2"/>
        <v>4.95</v>
      </c>
    </row>
    <row r="10" spans="1:12" x14ac:dyDescent="0.2">
      <c r="A10" t="s">
        <v>33</v>
      </c>
      <c r="B10">
        <v>7</v>
      </c>
      <c r="C10">
        <f t="shared" si="0"/>
        <v>96.000000000000014</v>
      </c>
      <c r="F10">
        <v>3.2</v>
      </c>
      <c r="G10">
        <f t="shared" si="1"/>
        <v>0.66666666666666663</v>
      </c>
      <c r="H10">
        <f t="shared" si="2"/>
        <v>4.8000000000000007</v>
      </c>
    </row>
    <row r="11" spans="1:12" x14ac:dyDescent="0.2">
      <c r="A11" t="s">
        <v>33</v>
      </c>
      <c r="B11">
        <v>8</v>
      </c>
      <c r="C11">
        <f t="shared" si="0"/>
        <v>96.000000000000014</v>
      </c>
      <c r="F11">
        <v>3.2</v>
      </c>
      <c r="G11">
        <f t="shared" si="1"/>
        <v>0.66666666666666663</v>
      </c>
      <c r="H11">
        <f t="shared" si="2"/>
        <v>4.8000000000000007</v>
      </c>
    </row>
    <row r="12" spans="1:12" x14ac:dyDescent="0.2">
      <c r="A12" t="s">
        <v>34</v>
      </c>
      <c r="B12">
        <v>1</v>
      </c>
      <c r="C12">
        <f>1000*H12/$L$5</f>
        <v>43.75</v>
      </c>
      <c r="F12">
        <v>3.5</v>
      </c>
      <c r="G12">
        <f>2/3</f>
        <v>0.66666666666666663</v>
      </c>
      <c r="H12">
        <f t="shared" si="2"/>
        <v>5.25</v>
      </c>
    </row>
    <row r="13" spans="1:12" x14ac:dyDescent="0.2">
      <c r="A13" t="s">
        <v>34</v>
      </c>
      <c r="B13">
        <v>2</v>
      </c>
      <c r="C13">
        <f t="shared" ref="C13:C19" si="3">1000*H13/$L$5</f>
        <v>43.75</v>
      </c>
      <c r="F13">
        <v>3.5</v>
      </c>
      <c r="G13">
        <f t="shared" si="1"/>
        <v>0.66666666666666663</v>
      </c>
      <c r="H13">
        <f t="shared" si="2"/>
        <v>5.25</v>
      </c>
    </row>
    <row r="14" spans="1:12" x14ac:dyDescent="0.2">
      <c r="A14" t="s">
        <v>34</v>
      </c>
      <c r="B14">
        <v>3</v>
      </c>
      <c r="C14">
        <f t="shared" si="3"/>
        <v>42.500000000000007</v>
      </c>
      <c r="F14">
        <v>3.4</v>
      </c>
      <c r="G14">
        <f t="shared" si="1"/>
        <v>0.66666666666666663</v>
      </c>
      <c r="H14">
        <f t="shared" si="2"/>
        <v>5.1000000000000005</v>
      </c>
    </row>
    <row r="15" spans="1:12" x14ac:dyDescent="0.2">
      <c r="A15" t="s">
        <v>34</v>
      </c>
      <c r="B15">
        <v>4</v>
      </c>
      <c r="C15">
        <f t="shared" si="3"/>
        <v>42.500000000000007</v>
      </c>
      <c r="F15">
        <v>3.4</v>
      </c>
      <c r="G15">
        <f t="shared" si="1"/>
        <v>0.66666666666666663</v>
      </c>
      <c r="H15">
        <f t="shared" si="2"/>
        <v>5.1000000000000005</v>
      </c>
    </row>
    <row r="16" spans="1:12" x14ac:dyDescent="0.2">
      <c r="A16" t="s">
        <v>34</v>
      </c>
      <c r="B16">
        <v>5</v>
      </c>
      <c r="C16">
        <f t="shared" si="3"/>
        <v>41.25</v>
      </c>
      <c r="F16">
        <v>3.3</v>
      </c>
      <c r="G16">
        <f t="shared" si="1"/>
        <v>0.66666666666666663</v>
      </c>
      <c r="H16">
        <f t="shared" si="2"/>
        <v>4.95</v>
      </c>
    </row>
    <row r="17" spans="1:8" x14ac:dyDescent="0.2">
      <c r="A17" t="s">
        <v>34</v>
      </c>
      <c r="B17">
        <v>6</v>
      </c>
      <c r="C17">
        <f t="shared" si="3"/>
        <v>41.25</v>
      </c>
      <c r="F17">
        <v>3.3</v>
      </c>
      <c r="G17">
        <f t="shared" si="1"/>
        <v>0.66666666666666663</v>
      </c>
      <c r="H17">
        <f t="shared" si="2"/>
        <v>4.95</v>
      </c>
    </row>
    <row r="18" spans="1:8" x14ac:dyDescent="0.2">
      <c r="A18" t="s">
        <v>34</v>
      </c>
      <c r="B18">
        <v>7</v>
      </c>
      <c r="C18">
        <f t="shared" si="3"/>
        <v>40.000000000000007</v>
      </c>
      <c r="F18">
        <v>3.2</v>
      </c>
      <c r="G18">
        <f t="shared" si="1"/>
        <v>0.66666666666666663</v>
      </c>
      <c r="H18">
        <f t="shared" si="2"/>
        <v>4.8000000000000007</v>
      </c>
    </row>
    <row r="19" spans="1:8" x14ac:dyDescent="0.2">
      <c r="A19" t="s">
        <v>34</v>
      </c>
      <c r="B19">
        <v>8</v>
      </c>
      <c r="C19">
        <f t="shared" si="3"/>
        <v>40.000000000000007</v>
      </c>
      <c r="F19">
        <v>3.2</v>
      </c>
      <c r="G19">
        <f t="shared" si="1"/>
        <v>0.66666666666666663</v>
      </c>
      <c r="H19">
        <f t="shared" si="2"/>
        <v>4.8000000000000007</v>
      </c>
    </row>
    <row r="20" spans="1:8" x14ac:dyDescent="0.2">
      <c r="A20" t="s">
        <v>141</v>
      </c>
      <c r="B20">
        <v>1</v>
      </c>
      <c r="C20">
        <f>1000*H20/$L$4</f>
        <v>105</v>
      </c>
      <c r="F20">
        <v>3.5</v>
      </c>
      <c r="G20">
        <f>2/3</f>
        <v>0.66666666666666663</v>
      </c>
      <c r="H20">
        <f>F20/G20</f>
        <v>5.25</v>
      </c>
    </row>
    <row r="21" spans="1:8" x14ac:dyDescent="0.2">
      <c r="A21" t="s">
        <v>141</v>
      </c>
      <c r="B21">
        <v>2</v>
      </c>
      <c r="C21">
        <f t="shared" ref="C21:C27" si="4">1000*H21/$L$4</f>
        <v>105</v>
      </c>
      <c r="F21">
        <v>3.5</v>
      </c>
      <c r="G21">
        <f t="shared" si="1"/>
        <v>0.66666666666666663</v>
      </c>
      <c r="H21">
        <f t="shared" ref="H21:H27" si="5">F21/G21</f>
        <v>5.25</v>
      </c>
    </row>
    <row r="22" spans="1:8" x14ac:dyDescent="0.2">
      <c r="A22" t="s">
        <v>141</v>
      </c>
      <c r="B22">
        <v>3</v>
      </c>
      <c r="C22">
        <f t="shared" si="4"/>
        <v>102.00000000000001</v>
      </c>
      <c r="F22">
        <v>3.4</v>
      </c>
      <c r="G22">
        <f t="shared" si="1"/>
        <v>0.66666666666666663</v>
      </c>
      <c r="H22">
        <f t="shared" si="5"/>
        <v>5.1000000000000005</v>
      </c>
    </row>
    <row r="23" spans="1:8" x14ac:dyDescent="0.2">
      <c r="A23" t="s">
        <v>141</v>
      </c>
      <c r="B23">
        <v>4</v>
      </c>
      <c r="C23">
        <f t="shared" si="4"/>
        <v>102.00000000000001</v>
      </c>
      <c r="F23">
        <v>3.4</v>
      </c>
      <c r="G23">
        <f t="shared" si="1"/>
        <v>0.66666666666666663</v>
      </c>
      <c r="H23">
        <f t="shared" si="5"/>
        <v>5.1000000000000005</v>
      </c>
    </row>
    <row r="24" spans="1:8" x14ac:dyDescent="0.2">
      <c r="A24" t="s">
        <v>141</v>
      </c>
      <c r="B24">
        <v>5</v>
      </c>
      <c r="C24">
        <f t="shared" si="4"/>
        <v>99</v>
      </c>
      <c r="F24">
        <v>3.3</v>
      </c>
      <c r="G24">
        <f t="shared" si="1"/>
        <v>0.66666666666666663</v>
      </c>
      <c r="H24">
        <f t="shared" si="5"/>
        <v>4.95</v>
      </c>
    </row>
    <row r="25" spans="1:8" x14ac:dyDescent="0.2">
      <c r="A25" t="s">
        <v>141</v>
      </c>
      <c r="B25">
        <v>6</v>
      </c>
      <c r="C25">
        <f t="shared" si="4"/>
        <v>99</v>
      </c>
      <c r="F25">
        <v>3.3</v>
      </c>
      <c r="G25">
        <f t="shared" si="1"/>
        <v>0.66666666666666663</v>
      </c>
      <c r="H25">
        <f t="shared" si="5"/>
        <v>4.95</v>
      </c>
    </row>
    <row r="26" spans="1:8" x14ac:dyDescent="0.2">
      <c r="A26" t="s">
        <v>141</v>
      </c>
      <c r="B26">
        <v>7</v>
      </c>
      <c r="C26">
        <f t="shared" si="4"/>
        <v>96.000000000000014</v>
      </c>
      <c r="F26">
        <v>3.2</v>
      </c>
      <c r="G26">
        <f t="shared" si="1"/>
        <v>0.66666666666666663</v>
      </c>
      <c r="H26">
        <f t="shared" si="5"/>
        <v>4.8000000000000007</v>
      </c>
    </row>
    <row r="27" spans="1:8" x14ac:dyDescent="0.2">
      <c r="A27" t="s">
        <v>141</v>
      </c>
      <c r="B27">
        <v>8</v>
      </c>
      <c r="C27">
        <f t="shared" si="4"/>
        <v>96.000000000000014</v>
      </c>
      <c r="F27">
        <v>3.2</v>
      </c>
      <c r="G27">
        <f t="shared" si="1"/>
        <v>0.66666666666666663</v>
      </c>
      <c r="H27">
        <f t="shared" si="5"/>
        <v>4.8000000000000007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8C8D-A2DD-754A-B708-E38B1114FCB0}">
  <dimension ref="A1:B6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143</v>
      </c>
    </row>
    <row r="2" spans="1:2" x14ac:dyDescent="0.2">
      <c r="A2" t="s">
        <v>149</v>
      </c>
    </row>
    <row r="3" spans="1:2" x14ac:dyDescent="0.2">
      <c r="A3" t="s">
        <v>35</v>
      </c>
      <c r="B3" t="s">
        <v>151</v>
      </c>
    </row>
    <row r="4" spans="1:2" x14ac:dyDescent="0.2">
      <c r="A4" t="s">
        <v>33</v>
      </c>
      <c r="B4">
        <v>0</v>
      </c>
    </row>
    <row r="5" spans="1:2" x14ac:dyDescent="0.2">
      <c r="A5" t="s">
        <v>34</v>
      </c>
      <c r="B5">
        <v>0</v>
      </c>
    </row>
    <row r="6" spans="1:2" x14ac:dyDescent="0.2">
      <c r="A6" t="s">
        <v>141</v>
      </c>
      <c r="B6">
        <v>0.95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F010-DD53-9D46-9BE4-0E036097AF16}">
  <dimension ref="A1:E27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A1" t="s">
        <v>36</v>
      </c>
    </row>
    <row r="2" spans="1:3" x14ac:dyDescent="0.2">
      <c r="A2" t="s">
        <v>62</v>
      </c>
    </row>
    <row r="3" spans="1:3" x14ac:dyDescent="0.2">
      <c r="A3" t="s">
        <v>35</v>
      </c>
      <c r="B3" t="s">
        <v>2</v>
      </c>
      <c r="C3" t="s">
        <v>44</v>
      </c>
    </row>
    <row r="4" spans="1:3" x14ac:dyDescent="0.2">
      <c r="A4" t="s">
        <v>33</v>
      </c>
      <c r="B4">
        <v>1</v>
      </c>
      <c r="C4">
        <f>91/1000</f>
        <v>9.0999999999999998E-2</v>
      </c>
    </row>
    <row r="5" spans="1:3" x14ac:dyDescent="0.2">
      <c r="A5" t="s">
        <v>33</v>
      </c>
      <c r="B5">
        <v>2</v>
      </c>
      <c r="C5">
        <f>91/1000</f>
        <v>9.0999999999999998E-2</v>
      </c>
    </row>
    <row r="6" spans="1:3" x14ac:dyDescent="0.2">
      <c r="A6" t="s">
        <v>33</v>
      </c>
      <c r="B6">
        <v>3</v>
      </c>
      <c r="C6">
        <f>89/1000</f>
        <v>8.8999999999999996E-2</v>
      </c>
    </row>
    <row r="7" spans="1:3" x14ac:dyDescent="0.2">
      <c r="A7" t="s">
        <v>33</v>
      </c>
      <c r="B7">
        <v>4</v>
      </c>
      <c r="C7">
        <f>89/1000</f>
        <v>8.8999999999999996E-2</v>
      </c>
    </row>
    <row r="8" spans="1:3" x14ac:dyDescent="0.2">
      <c r="A8" t="s">
        <v>33</v>
      </c>
      <c r="B8">
        <v>5</v>
      </c>
      <c r="C8">
        <f>86/1000</f>
        <v>8.5999999999999993E-2</v>
      </c>
    </row>
    <row r="9" spans="1:3" x14ac:dyDescent="0.2">
      <c r="A9" t="s">
        <v>33</v>
      </c>
      <c r="B9">
        <v>6</v>
      </c>
      <c r="C9">
        <f>86/1000</f>
        <v>8.5999999999999993E-2</v>
      </c>
    </row>
    <row r="10" spans="1:3" x14ac:dyDescent="0.2">
      <c r="A10" t="s">
        <v>33</v>
      </c>
      <c r="B10">
        <v>7</v>
      </c>
      <c r="C10">
        <f>82/1000</f>
        <v>8.2000000000000003E-2</v>
      </c>
    </row>
    <row r="11" spans="1:3" x14ac:dyDescent="0.2">
      <c r="A11" t="s">
        <v>33</v>
      </c>
      <c r="B11">
        <v>8</v>
      </c>
      <c r="C11">
        <f>82/1000</f>
        <v>8.2000000000000003E-2</v>
      </c>
    </row>
    <row r="12" spans="1:3" x14ac:dyDescent="0.2">
      <c r="A12" t="s">
        <v>34</v>
      </c>
      <c r="B12">
        <v>1</v>
      </c>
      <c r="C12">
        <f>91/1000</f>
        <v>9.0999999999999998E-2</v>
      </c>
    </row>
    <row r="13" spans="1:3" x14ac:dyDescent="0.2">
      <c r="A13" t="s">
        <v>34</v>
      </c>
      <c r="B13">
        <v>2</v>
      </c>
      <c r="C13">
        <f>91/1000</f>
        <v>9.0999999999999998E-2</v>
      </c>
    </row>
    <row r="14" spans="1:3" x14ac:dyDescent="0.2">
      <c r="A14" t="s">
        <v>34</v>
      </c>
      <c r="B14">
        <v>3</v>
      </c>
      <c r="C14">
        <f>89/1000</f>
        <v>8.8999999999999996E-2</v>
      </c>
    </row>
    <row r="15" spans="1:3" x14ac:dyDescent="0.2">
      <c r="A15" t="s">
        <v>34</v>
      </c>
      <c r="B15">
        <v>4</v>
      </c>
      <c r="C15">
        <f>89/1000</f>
        <v>8.8999999999999996E-2</v>
      </c>
    </row>
    <row r="16" spans="1:3" x14ac:dyDescent="0.2">
      <c r="A16" t="s">
        <v>34</v>
      </c>
      <c r="B16">
        <v>5</v>
      </c>
      <c r="C16">
        <f>86/1000</f>
        <v>8.5999999999999993E-2</v>
      </c>
    </row>
    <row r="17" spans="1:5" x14ac:dyDescent="0.2">
      <c r="A17" t="s">
        <v>34</v>
      </c>
      <c r="B17">
        <v>6</v>
      </c>
      <c r="C17">
        <f>86/1000</f>
        <v>8.5999999999999993E-2</v>
      </c>
    </row>
    <row r="18" spans="1:5" x14ac:dyDescent="0.2">
      <c r="A18" t="s">
        <v>34</v>
      </c>
      <c r="B18">
        <v>7</v>
      </c>
      <c r="C18">
        <f>82/1000</f>
        <v>8.2000000000000003E-2</v>
      </c>
    </row>
    <row r="19" spans="1:5" x14ac:dyDescent="0.2">
      <c r="A19" t="s">
        <v>34</v>
      </c>
      <c r="B19">
        <v>8</v>
      </c>
      <c r="C19">
        <f>82/1000</f>
        <v>8.2000000000000003E-2</v>
      </c>
    </row>
    <row r="20" spans="1:5" x14ac:dyDescent="0.2">
      <c r="A20" t="s">
        <v>141</v>
      </c>
      <c r="B20">
        <v>1</v>
      </c>
      <c r="C20">
        <f>(130+115)/2/110*C4</f>
        <v>0.10134090909090908</v>
      </c>
      <c r="E20" t="s">
        <v>142</v>
      </c>
    </row>
    <row r="21" spans="1:5" x14ac:dyDescent="0.2">
      <c r="A21" t="s">
        <v>141</v>
      </c>
      <c r="B21">
        <v>2</v>
      </c>
      <c r="C21">
        <f t="shared" ref="C21:C27" si="0">(130+115)/2/110*C5</f>
        <v>0.10134090909090908</v>
      </c>
    </row>
    <row r="22" spans="1:5" x14ac:dyDescent="0.2">
      <c r="A22" t="s">
        <v>141</v>
      </c>
      <c r="B22">
        <v>3</v>
      </c>
      <c r="C22">
        <f t="shared" si="0"/>
        <v>9.9113636363636348E-2</v>
      </c>
    </row>
    <row r="23" spans="1:5" x14ac:dyDescent="0.2">
      <c r="A23" t="s">
        <v>141</v>
      </c>
      <c r="B23">
        <v>4</v>
      </c>
      <c r="C23">
        <f t="shared" si="0"/>
        <v>9.9113636363636348E-2</v>
      </c>
    </row>
    <row r="24" spans="1:5" x14ac:dyDescent="0.2">
      <c r="A24" t="s">
        <v>141</v>
      </c>
      <c r="B24">
        <v>5</v>
      </c>
      <c r="C24">
        <f t="shared" si="0"/>
        <v>9.5772727272727259E-2</v>
      </c>
    </row>
    <row r="25" spans="1:5" x14ac:dyDescent="0.2">
      <c r="A25" t="s">
        <v>141</v>
      </c>
      <c r="B25">
        <v>6</v>
      </c>
      <c r="C25">
        <f t="shared" si="0"/>
        <v>9.5772727272727259E-2</v>
      </c>
    </row>
    <row r="26" spans="1:5" x14ac:dyDescent="0.2">
      <c r="A26" t="s">
        <v>141</v>
      </c>
      <c r="B26">
        <v>7</v>
      </c>
      <c r="C26">
        <f t="shared" si="0"/>
        <v>9.1318181818181812E-2</v>
      </c>
    </row>
    <row r="27" spans="1:5" x14ac:dyDescent="0.2">
      <c r="A27" t="s">
        <v>141</v>
      </c>
      <c r="B27">
        <v>8</v>
      </c>
      <c r="C27">
        <f t="shared" si="0"/>
        <v>9.1318181818181812E-2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1A813-A926-3140-9DA4-10D496912727}">
  <dimension ref="A1:F38"/>
  <sheetViews>
    <sheetView workbookViewId="0"/>
  </sheetViews>
  <sheetFormatPr baseColWidth="10" defaultRowHeight="16" x14ac:dyDescent="0.2"/>
  <sheetData>
    <row r="1" spans="1:6" x14ac:dyDescent="0.2">
      <c r="A1" t="s">
        <v>45</v>
      </c>
    </row>
    <row r="2" spans="1:6" x14ac:dyDescent="0.2">
      <c r="A2" t="s">
        <v>61</v>
      </c>
    </row>
    <row r="3" spans="1:6" x14ac:dyDescent="0.2">
      <c r="A3" t="s">
        <v>6</v>
      </c>
      <c r="B3" t="s">
        <v>7</v>
      </c>
      <c r="F3" t="s">
        <v>90</v>
      </c>
    </row>
    <row r="4" spans="1:6" x14ac:dyDescent="0.2">
      <c r="A4" t="s">
        <v>14</v>
      </c>
      <c r="B4">
        <f>F4*10^3</f>
        <v>4600000</v>
      </c>
      <c r="F4">
        <v>4600</v>
      </c>
    </row>
    <row r="5" spans="1:6" x14ac:dyDescent="0.2">
      <c r="A5" t="s">
        <v>13</v>
      </c>
      <c r="B5">
        <f t="shared" ref="B5:B38" si="0">F5*10^3</f>
        <v>6255000</v>
      </c>
      <c r="F5">
        <v>6255</v>
      </c>
    </row>
    <row r="6" spans="1:6" x14ac:dyDescent="0.2">
      <c r="A6" t="s">
        <v>54</v>
      </c>
      <c r="B6">
        <f t="shared" si="0"/>
        <v>841000</v>
      </c>
      <c r="F6">
        <v>841</v>
      </c>
    </row>
    <row r="7" spans="1:6" x14ac:dyDescent="0.2">
      <c r="A7" t="s">
        <v>25</v>
      </c>
      <c r="B7">
        <f t="shared" si="0"/>
        <v>1994000</v>
      </c>
      <c r="F7">
        <v>1994</v>
      </c>
    </row>
    <row r="8" spans="1:6" x14ac:dyDescent="0.2">
      <c r="A8" t="s">
        <v>27</v>
      </c>
      <c r="B8">
        <f t="shared" si="0"/>
        <v>2318000</v>
      </c>
      <c r="F8">
        <v>2318</v>
      </c>
    </row>
    <row r="9" spans="1:6" x14ac:dyDescent="0.2">
      <c r="A9" t="s">
        <v>17</v>
      </c>
      <c r="B9">
        <f t="shared" si="0"/>
        <v>3937000</v>
      </c>
      <c r="F9">
        <v>3937</v>
      </c>
    </row>
    <row r="10" spans="1:6" x14ac:dyDescent="0.2">
      <c r="A10" t="s">
        <v>55</v>
      </c>
      <c r="B10">
        <f t="shared" si="0"/>
        <v>1900000</v>
      </c>
      <c r="F10">
        <v>1900</v>
      </c>
    </row>
    <row r="11" spans="1:6" x14ac:dyDescent="0.2">
      <c r="A11" t="s">
        <v>46</v>
      </c>
      <c r="B11">
        <f t="shared" si="0"/>
        <v>395000</v>
      </c>
      <c r="F11">
        <v>395</v>
      </c>
    </row>
    <row r="12" spans="1:6" x14ac:dyDescent="0.2">
      <c r="A12" t="s">
        <v>20</v>
      </c>
      <c r="B12">
        <f t="shared" si="0"/>
        <v>1300000</v>
      </c>
      <c r="F12">
        <v>1300</v>
      </c>
    </row>
    <row r="13" spans="1:6" x14ac:dyDescent="0.2">
      <c r="A13" t="s">
        <v>10</v>
      </c>
      <c r="B13">
        <f t="shared" si="0"/>
        <v>15900000</v>
      </c>
      <c r="F13">
        <v>15900</v>
      </c>
    </row>
    <row r="14" spans="1:6" x14ac:dyDescent="0.2">
      <c r="A14" t="s">
        <v>8</v>
      </c>
      <c r="B14">
        <f t="shared" si="0"/>
        <v>32737000</v>
      </c>
      <c r="F14">
        <v>32737</v>
      </c>
    </row>
    <row r="15" spans="1:6" x14ac:dyDescent="0.2">
      <c r="A15" t="s">
        <v>24</v>
      </c>
      <c r="B15">
        <f t="shared" si="0"/>
        <v>6680000</v>
      </c>
      <c r="F15">
        <v>6680</v>
      </c>
    </row>
    <row r="16" spans="1:6" x14ac:dyDescent="0.2">
      <c r="A16" t="s">
        <v>23</v>
      </c>
      <c r="B16">
        <f t="shared" si="0"/>
        <v>2000000</v>
      </c>
      <c r="F16">
        <v>2000</v>
      </c>
    </row>
    <row r="17" spans="1:6" x14ac:dyDescent="0.2">
      <c r="A17" t="s">
        <v>47</v>
      </c>
      <c r="B17">
        <f t="shared" si="0"/>
        <v>2500000</v>
      </c>
      <c r="F17">
        <v>2500</v>
      </c>
    </row>
    <row r="18" spans="1:6" x14ac:dyDescent="0.2">
      <c r="A18" t="s">
        <v>9</v>
      </c>
      <c r="B18">
        <f t="shared" si="0"/>
        <v>19300000</v>
      </c>
      <c r="F18">
        <v>19300</v>
      </c>
    </row>
    <row r="19" spans="1:6" x14ac:dyDescent="0.2">
      <c r="A19" t="s">
        <v>48</v>
      </c>
      <c r="B19">
        <f t="shared" si="0"/>
        <v>1200000</v>
      </c>
      <c r="F19">
        <v>1200</v>
      </c>
    </row>
    <row r="20" spans="1:6" x14ac:dyDescent="0.2">
      <c r="A20" t="s">
        <v>49</v>
      </c>
      <c r="B20">
        <f t="shared" si="0"/>
        <v>1010000</v>
      </c>
      <c r="F20">
        <v>1010</v>
      </c>
    </row>
    <row r="21" spans="1:6" x14ac:dyDescent="0.2">
      <c r="A21" t="s">
        <v>22</v>
      </c>
      <c r="B21">
        <f t="shared" si="0"/>
        <v>1070000</v>
      </c>
      <c r="F21">
        <v>1070</v>
      </c>
    </row>
    <row r="22" spans="1:6" x14ac:dyDescent="0.2">
      <c r="A22" t="s">
        <v>50</v>
      </c>
      <c r="B22">
        <f t="shared" si="0"/>
        <v>855000</v>
      </c>
      <c r="F22">
        <v>855</v>
      </c>
    </row>
    <row r="23" spans="1:6" x14ac:dyDescent="0.2">
      <c r="A23" t="s">
        <v>15</v>
      </c>
      <c r="B23">
        <f t="shared" si="0"/>
        <v>2260000</v>
      </c>
      <c r="F23">
        <v>2260</v>
      </c>
    </row>
    <row r="24" spans="1:6" x14ac:dyDescent="0.2">
      <c r="A24" t="s">
        <v>56</v>
      </c>
      <c r="B24">
        <f t="shared" si="0"/>
        <v>370000</v>
      </c>
      <c r="F24">
        <f>1850/5</f>
        <v>370</v>
      </c>
    </row>
    <row r="25" spans="1:6" x14ac:dyDescent="0.2">
      <c r="A25" t="s">
        <v>57</v>
      </c>
      <c r="B25">
        <f t="shared" si="0"/>
        <v>370000</v>
      </c>
      <c r="F25">
        <f t="shared" ref="F25:F28" si="1">1850/5</f>
        <v>370</v>
      </c>
    </row>
    <row r="26" spans="1:6" x14ac:dyDescent="0.2">
      <c r="A26" t="s">
        <v>58</v>
      </c>
      <c r="B26">
        <f t="shared" si="0"/>
        <v>370000</v>
      </c>
      <c r="F26">
        <f t="shared" si="1"/>
        <v>370</v>
      </c>
    </row>
    <row r="27" spans="1:6" x14ac:dyDescent="0.2">
      <c r="A27" t="s">
        <v>59</v>
      </c>
      <c r="B27">
        <f t="shared" si="0"/>
        <v>370000</v>
      </c>
      <c r="F27">
        <f t="shared" si="1"/>
        <v>370</v>
      </c>
    </row>
    <row r="28" spans="1:6" x14ac:dyDescent="0.2">
      <c r="A28" t="s">
        <v>60</v>
      </c>
      <c r="B28">
        <f t="shared" si="0"/>
        <v>370000</v>
      </c>
      <c r="F28">
        <f t="shared" si="1"/>
        <v>370</v>
      </c>
    </row>
    <row r="29" spans="1:6" x14ac:dyDescent="0.2">
      <c r="A29" t="s">
        <v>12</v>
      </c>
      <c r="B29">
        <f t="shared" si="0"/>
        <v>15722000</v>
      </c>
      <c r="F29">
        <v>15722</v>
      </c>
    </row>
    <row r="30" spans="1:6" x14ac:dyDescent="0.2">
      <c r="A30" t="s">
        <v>51</v>
      </c>
      <c r="B30">
        <f t="shared" si="0"/>
        <v>4200000</v>
      </c>
      <c r="F30">
        <v>4200</v>
      </c>
    </row>
    <row r="31" spans="1:6" x14ac:dyDescent="0.2">
      <c r="A31" t="s">
        <v>21</v>
      </c>
      <c r="B31">
        <f t="shared" si="0"/>
        <v>8038000</v>
      </c>
      <c r="F31">
        <v>8038</v>
      </c>
    </row>
    <row r="32" spans="1:6" x14ac:dyDescent="0.2">
      <c r="A32" t="s">
        <v>52</v>
      </c>
      <c r="B32">
        <f t="shared" si="0"/>
        <v>1801000</v>
      </c>
      <c r="F32">
        <v>1801</v>
      </c>
    </row>
    <row r="33" spans="1:6" x14ac:dyDescent="0.2">
      <c r="A33" t="s">
        <v>19</v>
      </c>
      <c r="B33">
        <f t="shared" si="0"/>
        <v>3518000</v>
      </c>
      <c r="F33">
        <v>3518</v>
      </c>
    </row>
    <row r="34" spans="1:6" x14ac:dyDescent="0.2">
      <c r="A34" t="s">
        <v>26</v>
      </c>
      <c r="B34">
        <f t="shared" si="0"/>
        <v>700000</v>
      </c>
      <c r="F34">
        <v>700</v>
      </c>
    </row>
    <row r="35" spans="1:6" x14ac:dyDescent="0.2">
      <c r="A35" t="s">
        <v>11</v>
      </c>
      <c r="B35">
        <f t="shared" si="0"/>
        <v>15000000</v>
      </c>
      <c r="F35">
        <v>15000</v>
      </c>
    </row>
    <row r="36" spans="1:6" x14ac:dyDescent="0.2">
      <c r="A36" t="s">
        <v>16</v>
      </c>
      <c r="B36">
        <f t="shared" si="0"/>
        <v>2800000</v>
      </c>
      <c r="F36">
        <v>2800</v>
      </c>
    </row>
    <row r="37" spans="1:6" x14ac:dyDescent="0.2">
      <c r="A37" t="s">
        <v>53</v>
      </c>
      <c r="B37">
        <f t="shared" si="0"/>
        <v>4580000</v>
      </c>
      <c r="F37">
        <v>4580</v>
      </c>
    </row>
    <row r="38" spans="1:6" x14ac:dyDescent="0.2">
      <c r="A38" t="s">
        <v>18</v>
      </c>
      <c r="B38">
        <f t="shared" si="0"/>
        <v>9400000</v>
      </c>
      <c r="F38">
        <v>9400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E390-C73C-3344-BAB1-AC8840441EE0}">
  <dimension ref="A1:A3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67</v>
      </c>
    </row>
    <row r="2" spans="1:1" x14ac:dyDescent="0.2">
      <c r="A2" t="s">
        <v>69</v>
      </c>
    </row>
    <row r="3" spans="1:1" x14ac:dyDescent="0.2">
      <c r="A3" t="s">
        <v>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53DE-5652-CE49-AA65-EE55A7A29A23}">
  <dimension ref="A1:C20"/>
  <sheetViews>
    <sheetView workbookViewId="0">
      <selection activeCell="B4" sqref="B4"/>
    </sheetView>
  </sheetViews>
  <sheetFormatPr baseColWidth="10" defaultRowHeight="16" x14ac:dyDescent="0.2"/>
  <sheetData>
    <row r="1" spans="1:3" x14ac:dyDescent="0.2">
      <c r="A1" t="s">
        <v>109</v>
      </c>
    </row>
    <row r="2" spans="1:3" x14ac:dyDescent="0.2">
      <c r="A2" t="s">
        <v>110</v>
      </c>
    </row>
    <row r="3" spans="1:3" x14ac:dyDescent="0.2">
      <c r="A3" t="s">
        <v>6</v>
      </c>
      <c r="B3" t="s">
        <v>117</v>
      </c>
      <c r="C3" t="s">
        <v>111</v>
      </c>
    </row>
    <row r="4" spans="1:3" x14ac:dyDescent="0.2">
      <c r="A4" t="s">
        <v>8</v>
      </c>
      <c r="B4" t="s">
        <v>69</v>
      </c>
      <c r="C4">
        <f>Ammonia_YearlyProduction!B4/8760</f>
        <v>392.46575342465752</v>
      </c>
    </row>
    <row r="5" spans="1:3" x14ac:dyDescent="0.2">
      <c r="A5" t="s">
        <v>12</v>
      </c>
      <c r="B5" t="s">
        <v>69</v>
      </c>
      <c r="C5">
        <f>Ammonia_YearlyProduction!B5/8760</f>
        <v>366.43835616438355</v>
      </c>
    </row>
    <row r="6" spans="1:3" x14ac:dyDescent="0.2">
      <c r="A6" t="s">
        <v>15</v>
      </c>
      <c r="B6" t="s">
        <v>69</v>
      </c>
      <c r="C6">
        <f>Ammonia_YearlyProduction!B6/8760</f>
        <v>310.15981735159818</v>
      </c>
    </row>
    <row r="7" spans="1:3" x14ac:dyDescent="0.2">
      <c r="A7" t="s">
        <v>21</v>
      </c>
      <c r="B7" t="s">
        <v>69</v>
      </c>
      <c r="C7">
        <f>Ammonia_YearlyProduction!B7/8760</f>
        <v>248.40182648401827</v>
      </c>
    </row>
    <row r="8" spans="1:3" x14ac:dyDescent="0.2">
      <c r="A8" t="s">
        <v>10</v>
      </c>
      <c r="B8" t="s">
        <v>69</v>
      </c>
      <c r="C8">
        <f>Ammonia_YearlyProduction!B8/8760</f>
        <v>170.662100456621</v>
      </c>
    </row>
    <row r="9" spans="1:3" x14ac:dyDescent="0.2">
      <c r="A9" t="s">
        <v>49</v>
      </c>
      <c r="B9" t="s">
        <v>69</v>
      </c>
      <c r="C9">
        <f>Ammonia_YearlyProduction!B9/8760</f>
        <v>127.62557077625571</v>
      </c>
    </row>
    <row r="10" spans="1:3" x14ac:dyDescent="0.2">
      <c r="A10" t="s">
        <v>25</v>
      </c>
      <c r="B10" t="s">
        <v>69</v>
      </c>
      <c r="C10">
        <f>Ammonia_YearlyProduction!B10/8760</f>
        <v>127.62557077625571</v>
      </c>
    </row>
    <row r="11" spans="1:3" x14ac:dyDescent="0.2">
      <c r="A11" t="s">
        <v>18</v>
      </c>
      <c r="B11" t="s">
        <v>69</v>
      </c>
      <c r="C11">
        <f>Ammonia_YearlyProduction!B11/8760</f>
        <v>125.57077625570776</v>
      </c>
    </row>
    <row r="12" spans="1:3" x14ac:dyDescent="0.2">
      <c r="A12" t="s">
        <v>13</v>
      </c>
      <c r="B12" t="s">
        <v>69</v>
      </c>
      <c r="C12">
        <f>Ammonia_YearlyProduction!B12/8760</f>
        <v>116.43835616438356</v>
      </c>
    </row>
    <row r="13" spans="1:3" x14ac:dyDescent="0.2">
      <c r="A13" t="s">
        <v>11</v>
      </c>
      <c r="B13" t="s">
        <v>69</v>
      </c>
      <c r="C13">
        <f>Ammonia_YearlyProduction!B13/8760</f>
        <v>69.520547945205479</v>
      </c>
    </row>
    <row r="14" spans="1:3" x14ac:dyDescent="0.2">
      <c r="A14" t="s">
        <v>9</v>
      </c>
      <c r="B14" t="s">
        <v>69</v>
      </c>
      <c r="C14">
        <f>Ammonia_YearlyProduction!B14/8760</f>
        <v>68.493150684931507</v>
      </c>
    </row>
    <row r="15" spans="1:3" x14ac:dyDescent="0.2">
      <c r="A15" t="s">
        <v>14</v>
      </c>
      <c r="B15" t="s">
        <v>69</v>
      </c>
      <c r="C15">
        <f>Ammonia_YearlyProduction!B15/8760</f>
        <v>55.365296803652967</v>
      </c>
    </row>
    <row r="16" spans="1:3" x14ac:dyDescent="0.2">
      <c r="A16" t="s">
        <v>19</v>
      </c>
      <c r="B16" t="s">
        <v>69</v>
      </c>
      <c r="C16">
        <f>Ammonia_YearlyProduction!B16/8760</f>
        <v>48.972602739726028</v>
      </c>
    </row>
    <row r="17" spans="1:3" x14ac:dyDescent="0.2">
      <c r="A17" t="s">
        <v>23</v>
      </c>
      <c r="B17" t="s">
        <v>69</v>
      </c>
      <c r="C17">
        <f>Ammonia_YearlyProduction!B17/8760</f>
        <v>43.721461187214615</v>
      </c>
    </row>
    <row r="18" spans="1:3" x14ac:dyDescent="0.2">
      <c r="A18" t="s">
        <v>17</v>
      </c>
      <c r="B18" t="s">
        <v>69</v>
      </c>
      <c r="C18">
        <f>Ammonia_YearlyProduction!B18/8760</f>
        <v>39.954337899543376</v>
      </c>
    </row>
    <row r="19" spans="1:3" x14ac:dyDescent="0.2">
      <c r="A19" t="s">
        <v>46</v>
      </c>
      <c r="B19" t="s">
        <v>69</v>
      </c>
      <c r="C19">
        <f>Ammonia_YearlyProduction!B19/8760</f>
        <v>22.831050228310502</v>
      </c>
    </row>
    <row r="20" spans="1:3" x14ac:dyDescent="0.2">
      <c r="A20" t="s">
        <v>24</v>
      </c>
      <c r="B20" t="s">
        <v>69</v>
      </c>
      <c r="C20">
        <f>Ammonia_YearlyProduction!B20/8760</f>
        <v>18.835616438356166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561D-6E44-454A-B146-F3EAB486DD28}">
  <dimension ref="A1:C11"/>
  <sheetViews>
    <sheetView workbookViewId="0">
      <selection activeCell="A4" sqref="A4"/>
    </sheetView>
  </sheetViews>
  <sheetFormatPr baseColWidth="10" defaultRowHeight="16" x14ac:dyDescent="0.2"/>
  <sheetData>
    <row r="1" spans="1:3" x14ac:dyDescent="0.2">
      <c r="A1" t="s">
        <v>99</v>
      </c>
    </row>
    <row r="2" spans="1:3" x14ac:dyDescent="0.2">
      <c r="A2" t="s">
        <v>101</v>
      </c>
    </row>
    <row r="3" spans="1:3" x14ac:dyDescent="0.2">
      <c r="A3" t="s">
        <v>98</v>
      </c>
      <c r="B3" t="s">
        <v>2</v>
      </c>
      <c r="C3" t="s">
        <v>100</v>
      </c>
    </row>
    <row r="4" spans="1:3" x14ac:dyDescent="0.2">
      <c r="A4" t="s">
        <v>69</v>
      </c>
      <c r="B4">
        <v>1</v>
      </c>
      <c r="C4">
        <f>0.2</f>
        <v>0.2</v>
      </c>
    </row>
    <row r="5" spans="1:3" x14ac:dyDescent="0.2">
      <c r="A5" t="s">
        <v>69</v>
      </c>
      <c r="B5">
        <v>2</v>
      </c>
      <c r="C5">
        <f>C4+0.2</f>
        <v>0.4</v>
      </c>
    </row>
    <row r="6" spans="1:3" x14ac:dyDescent="0.2">
      <c r="A6" t="s">
        <v>69</v>
      </c>
      <c r="B6">
        <v>3</v>
      </c>
      <c r="C6">
        <f t="shared" ref="C6:C8" si="0">C5+0.2</f>
        <v>0.60000000000000009</v>
      </c>
    </row>
    <row r="7" spans="1:3" x14ac:dyDescent="0.2">
      <c r="A7" t="s">
        <v>69</v>
      </c>
      <c r="B7">
        <v>4</v>
      </c>
      <c r="C7">
        <f t="shared" si="0"/>
        <v>0.8</v>
      </c>
    </row>
    <row r="8" spans="1:3" x14ac:dyDescent="0.2">
      <c r="A8" t="s">
        <v>69</v>
      </c>
      <c r="B8">
        <v>5</v>
      </c>
      <c r="C8">
        <f t="shared" si="0"/>
        <v>1</v>
      </c>
    </row>
    <row r="9" spans="1:3" x14ac:dyDescent="0.2">
      <c r="A9" t="s">
        <v>69</v>
      </c>
      <c r="B9">
        <v>6</v>
      </c>
      <c r="C9">
        <v>1</v>
      </c>
    </row>
    <row r="10" spans="1:3" x14ac:dyDescent="0.2">
      <c r="A10" t="s">
        <v>69</v>
      </c>
      <c r="B10">
        <v>7</v>
      </c>
      <c r="C10">
        <v>1</v>
      </c>
    </row>
    <row r="11" spans="1:3" x14ac:dyDescent="0.2">
      <c r="A11" t="s">
        <v>69</v>
      </c>
      <c r="B11">
        <v>8</v>
      </c>
      <c r="C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2FC8-544E-AF4C-AF6A-397FAB4BB845}">
  <dimension ref="A1:L19"/>
  <sheetViews>
    <sheetView workbookViewId="0">
      <selection activeCell="A4" sqref="A4:A19"/>
    </sheetView>
  </sheetViews>
  <sheetFormatPr baseColWidth="10" defaultRowHeight="16" x14ac:dyDescent="0.2"/>
  <sheetData>
    <row r="1" spans="1:12" x14ac:dyDescent="0.2">
      <c r="A1" t="s">
        <v>118</v>
      </c>
    </row>
    <row r="2" spans="1:12" x14ac:dyDescent="0.2">
      <c r="A2" t="s">
        <v>113</v>
      </c>
    </row>
    <row r="3" spans="1:12" x14ac:dyDescent="0.2">
      <c r="A3" t="s">
        <v>98</v>
      </c>
      <c r="B3" t="s">
        <v>2</v>
      </c>
      <c r="C3" t="s">
        <v>112</v>
      </c>
    </row>
    <row r="4" spans="1:12" x14ac:dyDescent="0.2">
      <c r="A4" t="s">
        <v>69</v>
      </c>
      <c r="B4">
        <v>1</v>
      </c>
      <c r="C4">
        <f>546.7*10^6/1350/24</f>
        <v>16873.456790123459</v>
      </c>
      <c r="J4" t="s">
        <v>120</v>
      </c>
      <c r="K4">
        <v>177</v>
      </c>
      <c r="L4" t="s">
        <v>119</v>
      </c>
    </row>
    <row r="5" spans="1:12" x14ac:dyDescent="0.2">
      <c r="A5" t="s">
        <v>69</v>
      </c>
      <c r="B5">
        <v>2</v>
      </c>
      <c r="C5">
        <f t="shared" ref="C5:C11" si="0">546.7*10^6/1350/24</f>
        <v>16873.456790123459</v>
      </c>
      <c r="J5" t="s">
        <v>121</v>
      </c>
      <c r="K5">
        <v>910</v>
      </c>
      <c r="L5" t="s">
        <v>122</v>
      </c>
    </row>
    <row r="6" spans="1:12" x14ac:dyDescent="0.2">
      <c r="A6" t="s">
        <v>69</v>
      </c>
      <c r="B6">
        <v>3</v>
      </c>
      <c r="C6">
        <f t="shared" si="0"/>
        <v>16873.456790123459</v>
      </c>
      <c r="J6" t="s">
        <v>123</v>
      </c>
      <c r="K6">
        <v>33.299999999999997</v>
      </c>
      <c r="L6" t="s">
        <v>124</v>
      </c>
    </row>
    <row r="7" spans="1:12" x14ac:dyDescent="0.2">
      <c r="A7" t="s">
        <v>69</v>
      </c>
      <c r="B7">
        <v>4</v>
      </c>
      <c r="C7">
        <f t="shared" si="0"/>
        <v>16873.456790123459</v>
      </c>
      <c r="J7" t="s">
        <v>125</v>
      </c>
      <c r="K7">
        <f>(K5*K6/24*K4)/24</f>
        <v>9311.8593749999982</v>
      </c>
    </row>
    <row r="8" spans="1:12" x14ac:dyDescent="0.2">
      <c r="A8" t="s">
        <v>69</v>
      </c>
      <c r="B8">
        <v>5</v>
      </c>
      <c r="C8">
        <f t="shared" si="0"/>
        <v>16873.456790123459</v>
      </c>
    </row>
    <row r="9" spans="1:12" x14ac:dyDescent="0.2">
      <c r="A9" t="s">
        <v>69</v>
      </c>
      <c r="B9">
        <v>6</v>
      </c>
      <c r="C9">
        <f t="shared" si="0"/>
        <v>16873.456790123459</v>
      </c>
    </row>
    <row r="10" spans="1:12" x14ac:dyDescent="0.2">
      <c r="A10" t="s">
        <v>69</v>
      </c>
      <c r="B10">
        <v>7</v>
      </c>
      <c r="C10">
        <f t="shared" si="0"/>
        <v>16873.456790123459</v>
      </c>
    </row>
    <row r="11" spans="1:12" x14ac:dyDescent="0.2">
      <c r="A11" t="s">
        <v>69</v>
      </c>
      <c r="B11">
        <v>8</v>
      </c>
      <c r="C11">
        <f t="shared" si="0"/>
        <v>16873.456790123459</v>
      </c>
    </row>
    <row r="12" spans="1:12" x14ac:dyDescent="0.2">
      <c r="A12" t="s">
        <v>70</v>
      </c>
      <c r="B12">
        <v>1</v>
      </c>
      <c r="C12">
        <f>C4-$K$7</f>
        <v>7561.5974151234605</v>
      </c>
    </row>
    <row r="13" spans="1:12" x14ac:dyDescent="0.2">
      <c r="A13" t="s">
        <v>70</v>
      </c>
      <c r="B13">
        <v>2</v>
      </c>
      <c r="C13">
        <f t="shared" ref="C13:C19" si="1">C5-$K$7</f>
        <v>7561.5974151234605</v>
      </c>
    </row>
    <row r="14" spans="1:12" x14ac:dyDescent="0.2">
      <c r="A14" t="s">
        <v>70</v>
      </c>
      <c r="B14">
        <v>3</v>
      </c>
      <c r="C14">
        <f t="shared" si="1"/>
        <v>7561.5974151234605</v>
      </c>
    </row>
    <row r="15" spans="1:12" x14ac:dyDescent="0.2">
      <c r="A15" t="s">
        <v>70</v>
      </c>
      <c r="B15">
        <v>4</v>
      </c>
      <c r="C15">
        <f t="shared" si="1"/>
        <v>7561.5974151234605</v>
      </c>
    </row>
    <row r="16" spans="1:12" x14ac:dyDescent="0.2">
      <c r="A16" t="s">
        <v>70</v>
      </c>
      <c r="B16">
        <v>5</v>
      </c>
      <c r="C16">
        <f t="shared" si="1"/>
        <v>7561.5974151234605</v>
      </c>
    </row>
    <row r="17" spans="1:3" x14ac:dyDescent="0.2">
      <c r="A17" t="s">
        <v>70</v>
      </c>
      <c r="B17">
        <v>6</v>
      </c>
      <c r="C17">
        <f t="shared" si="1"/>
        <v>7561.5974151234605</v>
      </c>
    </row>
    <row r="18" spans="1:3" x14ac:dyDescent="0.2">
      <c r="A18" t="s">
        <v>70</v>
      </c>
      <c r="B18">
        <v>7</v>
      </c>
      <c r="C18">
        <f t="shared" si="1"/>
        <v>7561.5974151234605</v>
      </c>
    </row>
    <row r="19" spans="1:3" x14ac:dyDescent="0.2">
      <c r="A19" t="s">
        <v>70</v>
      </c>
      <c r="B19">
        <v>8</v>
      </c>
      <c r="C19">
        <f t="shared" si="1"/>
        <v>7561.5974151234605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4DA5-234B-6749-B4CA-793D1189AC29}">
  <dimension ref="A1:C19"/>
  <sheetViews>
    <sheetView workbookViewId="0">
      <selection activeCell="A4" sqref="A4:A19"/>
    </sheetView>
  </sheetViews>
  <sheetFormatPr baseColWidth="10" defaultRowHeight="16" x14ac:dyDescent="0.2"/>
  <sheetData>
    <row r="1" spans="1:3" x14ac:dyDescent="0.2">
      <c r="A1" t="s">
        <v>126</v>
      </c>
    </row>
    <row r="2" spans="1:3" x14ac:dyDescent="0.2">
      <c r="A2" t="s">
        <v>127</v>
      </c>
    </row>
    <row r="3" spans="1:3" x14ac:dyDescent="0.2">
      <c r="A3" t="s">
        <v>98</v>
      </c>
      <c r="B3" t="s">
        <v>2</v>
      </c>
      <c r="C3" t="s">
        <v>128</v>
      </c>
    </row>
    <row r="4" spans="1:3" x14ac:dyDescent="0.2">
      <c r="A4" t="s">
        <v>69</v>
      </c>
      <c r="B4">
        <v>1</v>
      </c>
      <c r="C4">
        <f>0.015*Ammonia_InvCost!C4</f>
        <v>253.10185185185188</v>
      </c>
    </row>
    <row r="5" spans="1:3" x14ac:dyDescent="0.2">
      <c r="A5" t="s">
        <v>69</v>
      </c>
      <c r="B5">
        <v>2</v>
      </c>
      <c r="C5">
        <f>0.015*Ammonia_InvCost!C5</f>
        <v>253.10185185185188</v>
      </c>
    </row>
    <row r="6" spans="1:3" x14ac:dyDescent="0.2">
      <c r="A6" t="s">
        <v>69</v>
      </c>
      <c r="B6">
        <v>3</v>
      </c>
      <c r="C6">
        <f>0.015*Ammonia_InvCost!C6</f>
        <v>253.10185185185188</v>
      </c>
    </row>
    <row r="7" spans="1:3" x14ac:dyDescent="0.2">
      <c r="A7" t="s">
        <v>69</v>
      </c>
      <c r="B7">
        <v>4</v>
      </c>
      <c r="C7">
        <f>0.015*Ammonia_InvCost!C7</f>
        <v>253.10185185185188</v>
      </c>
    </row>
    <row r="8" spans="1:3" x14ac:dyDescent="0.2">
      <c r="A8" t="s">
        <v>69</v>
      </c>
      <c r="B8">
        <v>5</v>
      </c>
      <c r="C8">
        <f>0.015*Ammonia_InvCost!C8</f>
        <v>253.10185185185188</v>
      </c>
    </row>
    <row r="9" spans="1:3" x14ac:dyDescent="0.2">
      <c r="A9" t="s">
        <v>69</v>
      </c>
      <c r="B9">
        <v>6</v>
      </c>
      <c r="C9">
        <f>0.015*Ammonia_InvCost!C9</f>
        <v>253.10185185185188</v>
      </c>
    </row>
    <row r="10" spans="1:3" x14ac:dyDescent="0.2">
      <c r="A10" t="s">
        <v>69</v>
      </c>
      <c r="B10">
        <v>7</v>
      </c>
      <c r="C10">
        <f>0.015*Ammonia_InvCost!C10</f>
        <v>253.10185185185188</v>
      </c>
    </row>
    <row r="11" spans="1:3" x14ac:dyDescent="0.2">
      <c r="A11" t="s">
        <v>69</v>
      </c>
      <c r="B11">
        <v>8</v>
      </c>
      <c r="C11">
        <f>0.015*Ammonia_InvCost!C11</f>
        <v>253.10185185185188</v>
      </c>
    </row>
    <row r="12" spans="1:3" x14ac:dyDescent="0.2">
      <c r="A12" t="s">
        <v>70</v>
      </c>
      <c r="B12">
        <v>1</v>
      </c>
      <c r="C12">
        <f>0.015*Ammonia_InvCost!C12</f>
        <v>113.4239612268519</v>
      </c>
    </row>
    <row r="13" spans="1:3" x14ac:dyDescent="0.2">
      <c r="A13" t="s">
        <v>70</v>
      </c>
      <c r="B13">
        <v>2</v>
      </c>
      <c r="C13">
        <f>0.015*Ammonia_InvCost!C13</f>
        <v>113.4239612268519</v>
      </c>
    </row>
    <row r="14" spans="1:3" x14ac:dyDescent="0.2">
      <c r="A14" t="s">
        <v>70</v>
      </c>
      <c r="B14">
        <v>3</v>
      </c>
      <c r="C14">
        <f>0.015*Ammonia_InvCost!C14</f>
        <v>113.4239612268519</v>
      </c>
    </row>
    <row r="15" spans="1:3" x14ac:dyDescent="0.2">
      <c r="A15" t="s">
        <v>70</v>
      </c>
      <c r="B15">
        <v>4</v>
      </c>
      <c r="C15">
        <f>0.015*Ammonia_InvCost!C15</f>
        <v>113.4239612268519</v>
      </c>
    </row>
    <row r="16" spans="1:3" x14ac:dyDescent="0.2">
      <c r="A16" t="s">
        <v>70</v>
      </c>
      <c r="B16">
        <v>5</v>
      </c>
      <c r="C16">
        <f>0.015*Ammonia_InvCost!C16</f>
        <v>113.4239612268519</v>
      </c>
    </row>
    <row r="17" spans="1:3" x14ac:dyDescent="0.2">
      <c r="A17" t="s">
        <v>70</v>
      </c>
      <c r="B17">
        <v>6</v>
      </c>
      <c r="C17">
        <f>0.015*Ammonia_InvCost!C17</f>
        <v>113.4239612268519</v>
      </c>
    </row>
    <row r="18" spans="1:3" x14ac:dyDescent="0.2">
      <c r="A18" t="s">
        <v>70</v>
      </c>
      <c r="B18">
        <v>7</v>
      </c>
      <c r="C18">
        <f>0.015*Ammonia_InvCost!C18</f>
        <v>113.4239612268519</v>
      </c>
    </row>
    <row r="19" spans="1:3" x14ac:dyDescent="0.2">
      <c r="A19" t="s">
        <v>70</v>
      </c>
      <c r="B19">
        <v>8</v>
      </c>
      <c r="C19">
        <f>0.015*Ammonia_InvCost!C19</f>
        <v>113.4239612268519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4DA1-6715-F040-ADD1-4A7FCE5FB977}">
  <dimension ref="A1:B5"/>
  <sheetViews>
    <sheetView workbookViewId="0">
      <selection sqref="A1:B5"/>
    </sheetView>
  </sheetViews>
  <sheetFormatPr baseColWidth="10" defaultRowHeight="16" x14ac:dyDescent="0.2"/>
  <sheetData>
    <row r="1" spans="1:2" x14ac:dyDescent="0.2">
      <c r="A1" t="s">
        <v>71</v>
      </c>
    </row>
    <row r="2" spans="1:2" x14ac:dyDescent="0.2">
      <c r="A2" t="s">
        <v>68</v>
      </c>
    </row>
    <row r="3" spans="1:2" x14ac:dyDescent="0.2">
      <c r="A3" t="s">
        <v>84</v>
      </c>
      <c r="B3" t="s">
        <v>85</v>
      </c>
    </row>
    <row r="4" spans="1:2" x14ac:dyDescent="0.2">
      <c r="A4" t="s">
        <v>69</v>
      </c>
      <c r="B4">
        <v>753</v>
      </c>
    </row>
    <row r="5" spans="1:2" x14ac:dyDescent="0.2">
      <c r="A5" t="s">
        <v>70</v>
      </c>
      <c r="B5">
        <v>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334B-6735-A74E-9AB8-859DFD051B15}">
  <dimension ref="A1:C19"/>
  <sheetViews>
    <sheetView workbookViewId="0"/>
  </sheetViews>
  <sheetFormatPr baseColWidth="10" defaultRowHeight="16" x14ac:dyDescent="0.2"/>
  <sheetData>
    <row r="1" spans="1:3" x14ac:dyDescent="0.2">
      <c r="A1" t="s">
        <v>99</v>
      </c>
    </row>
    <row r="2" spans="1:3" x14ac:dyDescent="0.2">
      <c r="A2" t="s">
        <v>101</v>
      </c>
    </row>
    <row r="3" spans="1:3" x14ac:dyDescent="0.2">
      <c r="A3" t="s">
        <v>98</v>
      </c>
      <c r="B3" t="s">
        <v>2</v>
      </c>
      <c r="C3" t="s">
        <v>100</v>
      </c>
    </row>
    <row r="4" spans="1:3" x14ac:dyDescent="0.2">
      <c r="A4" t="s">
        <v>1</v>
      </c>
      <c r="B4">
        <v>1</v>
      </c>
      <c r="C4">
        <f>0.2</f>
        <v>0.2</v>
      </c>
    </row>
    <row r="5" spans="1:3" x14ac:dyDescent="0.2">
      <c r="A5" t="s">
        <v>1</v>
      </c>
      <c r="B5">
        <v>2</v>
      </c>
      <c r="C5">
        <f>C4+0.2</f>
        <v>0.4</v>
      </c>
    </row>
    <row r="6" spans="1:3" x14ac:dyDescent="0.2">
      <c r="A6" t="s">
        <v>1</v>
      </c>
      <c r="B6">
        <v>3</v>
      </c>
      <c r="C6">
        <f t="shared" ref="C6:C8" si="0">C5+0.2</f>
        <v>0.60000000000000009</v>
      </c>
    </row>
    <row r="7" spans="1:3" x14ac:dyDescent="0.2">
      <c r="A7" t="s">
        <v>1</v>
      </c>
      <c r="B7">
        <v>4</v>
      </c>
      <c r="C7">
        <f t="shared" si="0"/>
        <v>0.8</v>
      </c>
    </row>
    <row r="8" spans="1:3" x14ac:dyDescent="0.2">
      <c r="A8" t="s">
        <v>1</v>
      </c>
      <c r="B8">
        <v>5</v>
      </c>
      <c r="C8">
        <f t="shared" si="0"/>
        <v>1</v>
      </c>
    </row>
    <row r="9" spans="1:3" x14ac:dyDescent="0.2">
      <c r="A9" t="s">
        <v>1</v>
      </c>
      <c r="B9">
        <v>6</v>
      </c>
      <c r="C9">
        <v>1</v>
      </c>
    </row>
    <row r="10" spans="1:3" x14ac:dyDescent="0.2">
      <c r="A10" t="s">
        <v>1</v>
      </c>
      <c r="B10">
        <v>7</v>
      </c>
      <c r="C10">
        <v>1</v>
      </c>
    </row>
    <row r="11" spans="1:3" x14ac:dyDescent="0.2">
      <c r="A11" t="s">
        <v>1</v>
      </c>
      <c r="B11">
        <v>8</v>
      </c>
      <c r="C11">
        <v>1</v>
      </c>
    </row>
    <row r="12" spans="1:3" x14ac:dyDescent="0.2">
      <c r="A12" t="s">
        <v>135</v>
      </c>
      <c r="B12">
        <v>1</v>
      </c>
      <c r="C12">
        <f>0.2</f>
        <v>0.2</v>
      </c>
    </row>
    <row r="13" spans="1:3" x14ac:dyDescent="0.2">
      <c r="A13" t="s">
        <v>135</v>
      </c>
      <c r="B13">
        <v>2</v>
      </c>
      <c r="C13">
        <f>C12+0.2</f>
        <v>0.4</v>
      </c>
    </row>
    <row r="14" spans="1:3" x14ac:dyDescent="0.2">
      <c r="A14" t="s">
        <v>135</v>
      </c>
      <c r="B14">
        <v>3</v>
      </c>
      <c r="C14">
        <f t="shared" ref="C14:C16" si="1">C13+0.2</f>
        <v>0.60000000000000009</v>
      </c>
    </row>
    <row r="15" spans="1:3" x14ac:dyDescent="0.2">
      <c r="A15" t="s">
        <v>135</v>
      </c>
      <c r="B15">
        <v>4</v>
      </c>
      <c r="C15">
        <f t="shared" si="1"/>
        <v>0.8</v>
      </c>
    </row>
    <row r="16" spans="1:3" x14ac:dyDescent="0.2">
      <c r="A16" t="s">
        <v>135</v>
      </c>
      <c r="B16">
        <v>5</v>
      </c>
      <c r="C16">
        <f t="shared" si="1"/>
        <v>1</v>
      </c>
    </row>
    <row r="17" spans="1:3" x14ac:dyDescent="0.2">
      <c r="A17" t="s">
        <v>135</v>
      </c>
      <c r="B17">
        <v>6</v>
      </c>
      <c r="C17">
        <v>1</v>
      </c>
    </row>
    <row r="18" spans="1:3" x14ac:dyDescent="0.2">
      <c r="A18" t="s">
        <v>135</v>
      </c>
      <c r="B18">
        <v>7</v>
      </c>
      <c r="C18">
        <v>1</v>
      </c>
    </row>
    <row r="19" spans="1:3" x14ac:dyDescent="0.2">
      <c r="A19" t="s">
        <v>135</v>
      </c>
      <c r="B19">
        <v>8</v>
      </c>
      <c r="C19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D6D8-9E86-D946-8829-3A210FA0459B}">
  <dimension ref="A1:B5"/>
  <sheetViews>
    <sheetView workbookViewId="0">
      <selection sqref="A1:B5"/>
    </sheetView>
  </sheetViews>
  <sheetFormatPr baseColWidth="10" defaultRowHeight="16" x14ac:dyDescent="0.2"/>
  <sheetData>
    <row r="1" spans="1:2" x14ac:dyDescent="0.2">
      <c r="A1" t="s">
        <v>73</v>
      </c>
    </row>
    <row r="2" spans="1:2" x14ac:dyDescent="0.2">
      <c r="A2" t="s">
        <v>72</v>
      </c>
    </row>
    <row r="3" spans="1:2" x14ac:dyDescent="0.2">
      <c r="A3" t="s">
        <v>82</v>
      </c>
      <c r="B3" t="s">
        <v>83</v>
      </c>
    </row>
    <row r="4" spans="1:2" x14ac:dyDescent="0.2">
      <c r="A4" t="s">
        <v>69</v>
      </c>
      <c r="B4">
        <v>8.3330000000000001E-2</v>
      </c>
    </row>
    <row r="5" spans="1:2" x14ac:dyDescent="0.2">
      <c r="A5" t="s">
        <v>70</v>
      </c>
      <c r="B5">
        <v>8.3330000000000001E-2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C8F4-5447-7249-A224-567B36CAF4E4}">
  <dimension ref="A1:E20"/>
  <sheetViews>
    <sheetView workbookViewId="0">
      <selection activeCell="K20" sqref="K20"/>
    </sheetView>
  </sheetViews>
  <sheetFormatPr baseColWidth="10" defaultRowHeight="16" x14ac:dyDescent="0.2"/>
  <sheetData>
    <row r="1" spans="1:5" x14ac:dyDescent="0.2">
      <c r="A1" t="s">
        <v>152</v>
      </c>
    </row>
    <row r="2" spans="1:5" x14ac:dyDescent="0.2">
      <c r="A2" t="s">
        <v>81</v>
      </c>
    </row>
    <row r="3" spans="1:5" x14ac:dyDescent="0.2">
      <c r="A3" t="s">
        <v>6</v>
      </c>
      <c r="B3" t="s">
        <v>89</v>
      </c>
      <c r="E3" t="s">
        <v>92</v>
      </c>
    </row>
    <row r="4" spans="1:5" x14ac:dyDescent="0.2">
      <c r="A4" t="s">
        <v>8</v>
      </c>
      <c r="B4">
        <f>E4*10^3</f>
        <v>3438000</v>
      </c>
      <c r="E4">
        <v>3438</v>
      </c>
    </row>
    <row r="5" spans="1:5" x14ac:dyDescent="0.2">
      <c r="A5" t="s">
        <v>12</v>
      </c>
      <c r="B5">
        <f t="shared" ref="B5:B20" si="0">E5*10^3</f>
        <v>3210000</v>
      </c>
      <c r="E5">
        <v>3210</v>
      </c>
    </row>
    <row r="6" spans="1:5" x14ac:dyDescent="0.2">
      <c r="A6" t="s">
        <v>15</v>
      </c>
      <c r="B6">
        <f t="shared" si="0"/>
        <v>2717000</v>
      </c>
      <c r="E6">
        <v>2717</v>
      </c>
    </row>
    <row r="7" spans="1:5" x14ac:dyDescent="0.2">
      <c r="A7" t="s">
        <v>21</v>
      </c>
      <c r="B7">
        <f t="shared" si="0"/>
        <v>2176000</v>
      </c>
      <c r="E7">
        <v>2176</v>
      </c>
    </row>
    <row r="8" spans="1:5" x14ac:dyDescent="0.2">
      <c r="A8" t="s">
        <v>10</v>
      </c>
      <c r="B8">
        <f t="shared" si="0"/>
        <v>1495000</v>
      </c>
      <c r="E8">
        <v>1495</v>
      </c>
    </row>
    <row r="9" spans="1:5" x14ac:dyDescent="0.2">
      <c r="A9" t="s">
        <v>49</v>
      </c>
      <c r="B9">
        <f t="shared" si="0"/>
        <v>1118000</v>
      </c>
      <c r="E9">
        <v>1118</v>
      </c>
    </row>
    <row r="10" spans="1:5" x14ac:dyDescent="0.2">
      <c r="A10" t="s">
        <v>25</v>
      </c>
      <c r="B10">
        <f t="shared" si="0"/>
        <v>1118000</v>
      </c>
      <c r="E10">
        <v>1118</v>
      </c>
    </row>
    <row r="11" spans="1:5" x14ac:dyDescent="0.2">
      <c r="A11" t="s">
        <v>18</v>
      </c>
      <c r="B11">
        <f t="shared" si="0"/>
        <v>1100000</v>
      </c>
      <c r="E11">
        <v>1100</v>
      </c>
    </row>
    <row r="12" spans="1:5" x14ac:dyDescent="0.2">
      <c r="A12" t="s">
        <v>13</v>
      </c>
      <c r="B12">
        <f t="shared" si="0"/>
        <v>1020000</v>
      </c>
      <c r="E12">
        <v>1020</v>
      </c>
    </row>
    <row r="13" spans="1:5" x14ac:dyDescent="0.2">
      <c r="A13" t="s">
        <v>11</v>
      </c>
      <c r="B13">
        <f t="shared" si="0"/>
        <v>609000</v>
      </c>
      <c r="E13">
        <v>609</v>
      </c>
    </row>
    <row r="14" spans="1:5" x14ac:dyDescent="0.2">
      <c r="A14" t="s">
        <v>9</v>
      </c>
      <c r="B14">
        <f t="shared" si="0"/>
        <v>600000</v>
      </c>
      <c r="E14">
        <v>600</v>
      </c>
    </row>
    <row r="15" spans="1:5" x14ac:dyDescent="0.2">
      <c r="A15" t="s">
        <v>14</v>
      </c>
      <c r="B15">
        <f t="shared" si="0"/>
        <v>485000</v>
      </c>
      <c r="E15">
        <v>485</v>
      </c>
    </row>
    <row r="16" spans="1:5" x14ac:dyDescent="0.2">
      <c r="A16" t="s">
        <v>19</v>
      </c>
      <c r="B16">
        <f t="shared" si="0"/>
        <v>429000</v>
      </c>
      <c r="E16">
        <v>429</v>
      </c>
    </row>
    <row r="17" spans="1:5" x14ac:dyDescent="0.2">
      <c r="A17" t="s">
        <v>23</v>
      </c>
      <c r="B17">
        <f t="shared" si="0"/>
        <v>383000</v>
      </c>
      <c r="E17">
        <v>383</v>
      </c>
    </row>
    <row r="18" spans="1:5" x14ac:dyDescent="0.2">
      <c r="A18" t="s">
        <v>17</v>
      </c>
      <c r="B18">
        <f t="shared" si="0"/>
        <v>350000</v>
      </c>
      <c r="E18">
        <v>350</v>
      </c>
    </row>
    <row r="19" spans="1:5" x14ac:dyDescent="0.2">
      <c r="A19" t="s">
        <v>46</v>
      </c>
      <c r="B19">
        <f t="shared" si="0"/>
        <v>200000</v>
      </c>
      <c r="E19">
        <v>200</v>
      </c>
    </row>
    <row r="20" spans="1:5" x14ac:dyDescent="0.2">
      <c r="A20" t="s">
        <v>24</v>
      </c>
      <c r="B20">
        <f t="shared" si="0"/>
        <v>165000</v>
      </c>
      <c r="E20">
        <v>165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AE33-C85D-2B4A-8801-E5F54161FCBF}">
  <dimension ref="A1:G4"/>
  <sheetViews>
    <sheetView workbookViewId="0">
      <selection activeCell="A2" sqref="A2"/>
    </sheetView>
  </sheetViews>
  <sheetFormatPr baseColWidth="10" defaultRowHeight="16" x14ac:dyDescent="0.2"/>
  <sheetData>
    <row r="1" spans="1:7" x14ac:dyDescent="0.2">
      <c r="A1" t="s">
        <v>155</v>
      </c>
    </row>
    <row r="2" spans="1:7" x14ac:dyDescent="0.2">
      <c r="A2" t="s">
        <v>74</v>
      </c>
    </row>
    <row r="3" spans="1:7" x14ac:dyDescent="0.2">
      <c r="A3" t="s">
        <v>129</v>
      </c>
      <c r="E3" t="s">
        <v>86</v>
      </c>
      <c r="F3" t="s">
        <v>87</v>
      </c>
      <c r="G3" t="s">
        <v>129</v>
      </c>
    </row>
    <row r="4" spans="1:7" x14ac:dyDescent="0.2">
      <c r="A4">
        <f>G4</f>
        <v>1.8939999999999999</v>
      </c>
      <c r="E4">
        <v>1.8939999999999999</v>
      </c>
      <c r="F4">
        <f>E4/10^3</f>
        <v>1.8939999999999999E-3</v>
      </c>
      <c r="G4">
        <f>F4*10^3</f>
        <v>1.8939999999999999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6CC98-CA2B-794B-AD37-A78117EC63D9}">
  <dimension ref="A1:G4"/>
  <sheetViews>
    <sheetView workbookViewId="0"/>
  </sheetViews>
  <sheetFormatPr baseColWidth="10" defaultRowHeight="16" x14ac:dyDescent="0.2"/>
  <sheetData>
    <row r="1" spans="1:7" x14ac:dyDescent="0.2">
      <c r="A1" t="s">
        <v>154</v>
      </c>
    </row>
    <row r="2" spans="1:7" x14ac:dyDescent="0.2">
      <c r="A2" t="s">
        <v>75</v>
      </c>
    </row>
    <row r="3" spans="1:7" x14ac:dyDescent="0.2">
      <c r="A3" t="str">
        <f>G3</f>
        <v>Heat Consumption (MWh/k bbl)</v>
      </c>
      <c r="F3" t="s">
        <v>88</v>
      </c>
      <c r="G3" t="s">
        <v>130</v>
      </c>
    </row>
    <row r="4" spans="1:7" x14ac:dyDescent="0.2">
      <c r="A4">
        <f>G4</f>
        <v>0.2</v>
      </c>
      <c r="F4">
        <v>0.2</v>
      </c>
      <c r="G4">
        <f>F4/10^3*10^3</f>
        <v>0.2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AB39-16DF-8C42-894F-2A13FE3A2F33}">
  <dimension ref="A1:M203"/>
  <sheetViews>
    <sheetView workbookViewId="0">
      <selection activeCell="E4" sqref="E4"/>
    </sheetView>
  </sheetViews>
  <sheetFormatPr baseColWidth="10" defaultRowHeight="16" x14ac:dyDescent="0.2"/>
  <sheetData>
    <row r="1" spans="1:13" x14ac:dyDescent="0.2">
      <c r="A1" t="s">
        <v>78</v>
      </c>
    </row>
    <row r="2" spans="1:13" x14ac:dyDescent="0.2">
      <c r="A2" t="s">
        <v>80</v>
      </c>
    </row>
    <row r="3" spans="1:13" x14ac:dyDescent="0.2">
      <c r="A3" t="s">
        <v>6</v>
      </c>
      <c r="B3" t="s">
        <v>2</v>
      </c>
      <c r="C3" t="str">
        <f>G3</f>
        <v>Yearly production of oil (k bbl/yr)</v>
      </c>
      <c r="F3" t="s">
        <v>76</v>
      </c>
      <c r="G3" t="s">
        <v>131</v>
      </c>
    </row>
    <row r="4" spans="1:13" x14ac:dyDescent="0.2">
      <c r="A4" t="s">
        <v>14</v>
      </c>
      <c r="B4">
        <v>1</v>
      </c>
      <c r="C4">
        <f t="shared" ref="C4:C67" si="0">G4</f>
        <v>55565.617283950618</v>
      </c>
      <c r="F4">
        <f>SUMIF($L$6:$L$30,"="&amp;$A4,$M$6:$M$30)*11.8/16.2</f>
        <v>55565617.283950619</v>
      </c>
      <c r="G4">
        <f>F4/10^3</f>
        <v>55565.617283950618</v>
      </c>
      <c r="H4" t="s">
        <v>2</v>
      </c>
      <c r="I4" t="s">
        <v>77</v>
      </c>
    </row>
    <row r="5" spans="1:13" x14ac:dyDescent="0.2">
      <c r="A5" t="s">
        <v>14</v>
      </c>
      <c r="B5">
        <v>2</v>
      </c>
      <c r="C5">
        <f t="shared" si="0"/>
        <v>55565.617283950618</v>
      </c>
      <c r="F5">
        <f>F4*$I$6</f>
        <v>55565617.283950619</v>
      </c>
      <c r="G5">
        <f t="shared" ref="G5:G68" si="1">F5/10^3</f>
        <v>55565.617283950618</v>
      </c>
      <c r="H5">
        <v>1</v>
      </c>
      <c r="I5">
        <v>1</v>
      </c>
      <c r="L5" t="s">
        <v>6</v>
      </c>
      <c r="M5" t="s">
        <v>79</v>
      </c>
    </row>
    <row r="6" spans="1:13" x14ac:dyDescent="0.2">
      <c r="A6" t="s">
        <v>14</v>
      </c>
      <c r="B6">
        <v>3</v>
      </c>
      <c r="C6">
        <f t="shared" si="0"/>
        <v>50385.771604938265</v>
      </c>
      <c r="F6">
        <f>F5*$I$7</f>
        <v>50385771.604938269</v>
      </c>
      <c r="G6">
        <f t="shared" si="1"/>
        <v>50385.771604938265</v>
      </c>
      <c r="H6">
        <v>2</v>
      </c>
      <c r="I6">
        <v>1</v>
      </c>
      <c r="L6" t="s">
        <v>14</v>
      </c>
      <c r="M6">
        <f>209*365*1000</f>
        <v>76285000</v>
      </c>
    </row>
    <row r="7" spans="1:13" x14ac:dyDescent="0.2">
      <c r="A7" t="s">
        <v>14</v>
      </c>
      <c r="B7">
        <v>4</v>
      </c>
      <c r="C7">
        <f t="shared" si="0"/>
        <v>45688.792896003346</v>
      </c>
      <c r="F7">
        <f>F6*$I$8</f>
        <v>45688792.896003343</v>
      </c>
      <c r="G7">
        <f t="shared" si="1"/>
        <v>45688.792896003346</v>
      </c>
      <c r="H7">
        <v>3</v>
      </c>
      <c r="I7">
        <v>0.90677966101694907</v>
      </c>
      <c r="L7" t="s">
        <v>13</v>
      </c>
      <c r="M7">
        <f>767*365*1000</f>
        <v>279955000</v>
      </c>
    </row>
    <row r="8" spans="1:13" x14ac:dyDescent="0.2">
      <c r="A8" t="s">
        <v>14</v>
      </c>
      <c r="B8">
        <v>5</v>
      </c>
      <c r="C8">
        <f t="shared" si="0"/>
        <v>41429.668134511499</v>
      </c>
      <c r="F8">
        <f>F7*$I$9</f>
        <v>41429668.134511501</v>
      </c>
      <c r="G8">
        <f t="shared" si="1"/>
        <v>41429.668134511499</v>
      </c>
      <c r="H8">
        <v>4</v>
      </c>
      <c r="I8">
        <v>0.90677966101694907</v>
      </c>
      <c r="L8" t="s">
        <v>54</v>
      </c>
      <c r="M8">
        <f>60*1000*365</f>
        <v>21900000</v>
      </c>
    </row>
    <row r="9" spans="1:13" x14ac:dyDescent="0.2">
      <c r="A9" t="s">
        <v>14</v>
      </c>
      <c r="B9">
        <v>6</v>
      </c>
      <c r="C9">
        <f t="shared" si="0"/>
        <v>37567.580427057037</v>
      </c>
      <c r="F9">
        <f>F8*$I$10</f>
        <v>37567580.427057035</v>
      </c>
      <c r="G9">
        <f t="shared" si="1"/>
        <v>37567.580427057037</v>
      </c>
      <c r="H9">
        <v>5</v>
      </c>
      <c r="I9">
        <v>0.90677966101694907</v>
      </c>
      <c r="L9" t="s">
        <v>27</v>
      </c>
      <c r="M9">
        <f>90*365*1000</f>
        <v>32850000</v>
      </c>
    </row>
    <row r="10" spans="1:13" x14ac:dyDescent="0.2">
      <c r="A10" t="s">
        <v>14</v>
      </c>
      <c r="B10">
        <v>7</v>
      </c>
      <c r="C10">
        <f t="shared" si="0"/>
        <v>30896.701659635695</v>
      </c>
      <c r="F10">
        <f>F9*$I$11</f>
        <v>30896701.659635697</v>
      </c>
      <c r="G10">
        <f t="shared" si="1"/>
        <v>30896.701659635695</v>
      </c>
      <c r="H10">
        <v>6</v>
      </c>
      <c r="I10">
        <v>0.90677966101694907</v>
      </c>
      <c r="L10" t="s">
        <v>17</v>
      </c>
      <c r="M10">
        <f>175*1000*365</f>
        <v>63875000</v>
      </c>
    </row>
    <row r="11" spans="1:13" x14ac:dyDescent="0.2">
      <c r="A11" t="s">
        <v>14</v>
      </c>
      <c r="B11">
        <v>8</v>
      </c>
      <c r="C11">
        <f t="shared" si="0"/>
        <v>25410.371458391979</v>
      </c>
      <c r="F11">
        <f>F10*$I$12</f>
        <v>25410371.458391979</v>
      </c>
      <c r="G11">
        <f t="shared" si="1"/>
        <v>25410.371458391979</v>
      </c>
      <c r="H11">
        <v>7</v>
      </c>
      <c r="I11">
        <v>0.82242990654205617</v>
      </c>
      <c r="L11" t="s">
        <v>55</v>
      </c>
      <c r="M11">
        <f>186*365*1000</f>
        <v>67890000</v>
      </c>
    </row>
    <row r="12" spans="1:13" x14ac:dyDescent="0.2">
      <c r="A12" t="s">
        <v>13</v>
      </c>
      <c r="B12">
        <v>1</v>
      </c>
      <c r="C12">
        <f t="shared" si="0"/>
        <v>203917.83950617284</v>
      </c>
      <c r="F12">
        <f>SUMIF($L$6:$L$30,"="&amp;$A12,$M$6:$M$30)*11.8/16.2</f>
        <v>203917839.50617284</v>
      </c>
      <c r="G12">
        <f t="shared" si="1"/>
        <v>203917.83950617284</v>
      </c>
      <c r="H12">
        <v>8</v>
      </c>
      <c r="I12">
        <v>0.82242990654205617</v>
      </c>
      <c r="L12" t="s">
        <v>20</v>
      </c>
      <c r="M12">
        <f>264*365*1000</f>
        <v>96360000</v>
      </c>
    </row>
    <row r="13" spans="1:13" x14ac:dyDescent="0.2">
      <c r="A13" t="s">
        <v>13</v>
      </c>
      <c r="B13">
        <v>2</v>
      </c>
      <c r="C13">
        <f t="shared" si="0"/>
        <v>203917.83950617284</v>
      </c>
      <c r="F13">
        <f>F12*$I$6</f>
        <v>203917839.50617284</v>
      </c>
      <c r="G13">
        <f t="shared" si="1"/>
        <v>203917.83950617284</v>
      </c>
      <c r="L13" t="s">
        <v>10</v>
      </c>
      <c r="M13">
        <f>1298*365*1000</f>
        <v>473770000</v>
      </c>
    </row>
    <row r="14" spans="1:13" x14ac:dyDescent="0.2">
      <c r="A14" t="s">
        <v>13</v>
      </c>
      <c r="B14">
        <v>3</v>
      </c>
      <c r="C14">
        <f t="shared" si="0"/>
        <v>184908.54938271604</v>
      </c>
      <c r="F14">
        <f>F13*$I$7</f>
        <v>184908549.38271603</v>
      </c>
      <c r="G14">
        <f t="shared" si="1"/>
        <v>184908.54938271604</v>
      </c>
      <c r="L14" t="s">
        <v>8</v>
      </c>
      <c r="M14">
        <f>2208*365*1000</f>
        <v>805920000</v>
      </c>
    </row>
    <row r="15" spans="1:13" x14ac:dyDescent="0.2">
      <c r="A15" t="s">
        <v>13</v>
      </c>
      <c r="B15">
        <v>4</v>
      </c>
      <c r="C15">
        <f t="shared" si="0"/>
        <v>167671.31172839503</v>
      </c>
      <c r="F15">
        <f>F14*$I$8</f>
        <v>167671311.72839502</v>
      </c>
      <c r="G15">
        <f t="shared" si="1"/>
        <v>167671.31172839503</v>
      </c>
      <c r="L15" t="s">
        <v>24</v>
      </c>
      <c r="M15">
        <f>535*365*1000</f>
        <v>195275000</v>
      </c>
    </row>
    <row r="16" spans="1:13" x14ac:dyDescent="0.2">
      <c r="A16" t="s">
        <v>13</v>
      </c>
      <c r="B16">
        <v>5</v>
      </c>
      <c r="C16">
        <f t="shared" si="0"/>
        <v>152040.93521134125</v>
      </c>
      <c r="F16">
        <f>F15*$I$9</f>
        <v>152040935.21134123</v>
      </c>
      <c r="G16">
        <f t="shared" si="1"/>
        <v>152040.93521134125</v>
      </c>
      <c r="L16" t="s">
        <v>23</v>
      </c>
      <c r="M16">
        <f>165*1000*365</f>
        <v>60225000</v>
      </c>
    </row>
    <row r="17" spans="1:13" x14ac:dyDescent="0.2">
      <c r="A17" t="s">
        <v>13</v>
      </c>
      <c r="B17">
        <v>6</v>
      </c>
      <c r="C17">
        <f t="shared" si="0"/>
        <v>137867.62769163994</v>
      </c>
      <c r="F17">
        <f>F16*$I$10</f>
        <v>137867627.69163993</v>
      </c>
      <c r="G17">
        <f t="shared" si="1"/>
        <v>137867.62769163994</v>
      </c>
      <c r="L17" t="s">
        <v>47</v>
      </c>
      <c r="M17">
        <f>75*365*1000</f>
        <v>27375000</v>
      </c>
    </row>
    <row r="18" spans="1:13" x14ac:dyDescent="0.2">
      <c r="A18" t="s">
        <v>13</v>
      </c>
      <c r="B18">
        <v>7</v>
      </c>
      <c r="C18">
        <f t="shared" si="0"/>
        <v>113386.46015761042</v>
      </c>
      <c r="F18">
        <f>F17*$I$11</f>
        <v>113386460.15761042</v>
      </c>
      <c r="G18">
        <f t="shared" si="1"/>
        <v>113386.46015761042</v>
      </c>
      <c r="L18" t="s">
        <v>9</v>
      </c>
      <c r="M18">
        <f>1730*365*1000</f>
        <v>631450000</v>
      </c>
    </row>
    <row r="19" spans="1:13" x14ac:dyDescent="0.2">
      <c r="A19" t="s">
        <v>13</v>
      </c>
      <c r="B19">
        <v>8</v>
      </c>
      <c r="C19">
        <f t="shared" si="0"/>
        <v>93252.415830558108</v>
      </c>
      <c r="F19">
        <f>F18*$I$12</f>
        <v>93252415.830558106</v>
      </c>
      <c r="G19">
        <f t="shared" si="1"/>
        <v>93252.415830558108</v>
      </c>
      <c r="L19" t="s">
        <v>49</v>
      </c>
      <c r="M19">
        <f>205*365*1000</f>
        <v>74825000</v>
      </c>
    </row>
    <row r="20" spans="1:13" x14ac:dyDescent="0.2">
      <c r="A20" t="s">
        <v>54</v>
      </c>
      <c r="B20">
        <v>1</v>
      </c>
      <c r="C20">
        <f t="shared" si="0"/>
        <v>15951.851851851854</v>
      </c>
      <c r="F20">
        <f>SUMIF($L$6:$L$30,"="&amp;$A20,$M$6:$M$30)*11.8/16.2</f>
        <v>15951851.851851854</v>
      </c>
      <c r="G20">
        <f t="shared" si="1"/>
        <v>15951.851851851854</v>
      </c>
      <c r="L20" t="s">
        <v>15</v>
      </c>
      <c r="M20">
        <f>1345*365*1000</f>
        <v>490925000</v>
      </c>
    </row>
    <row r="21" spans="1:13" x14ac:dyDescent="0.2">
      <c r="A21" t="s">
        <v>54</v>
      </c>
      <c r="B21">
        <v>2</v>
      </c>
      <c r="C21">
        <f t="shared" si="0"/>
        <v>15951.851851851854</v>
      </c>
      <c r="F21">
        <f>F20*$I$6</f>
        <v>15951851.851851854</v>
      </c>
      <c r="G21">
        <f t="shared" si="1"/>
        <v>15951.851851851854</v>
      </c>
      <c r="L21" t="s">
        <v>60</v>
      </c>
      <c r="M21">
        <f>205*1000*365</f>
        <v>74825000</v>
      </c>
    </row>
    <row r="22" spans="1:13" x14ac:dyDescent="0.2">
      <c r="A22" t="s">
        <v>54</v>
      </c>
      <c r="B22">
        <v>3</v>
      </c>
      <c r="C22">
        <f t="shared" si="0"/>
        <v>14464.814814814816</v>
      </c>
      <c r="F22">
        <f>F21*$I$7</f>
        <v>14464814.814814815</v>
      </c>
      <c r="G22">
        <f t="shared" si="1"/>
        <v>14464.814814814816</v>
      </c>
      <c r="L22" t="s">
        <v>56</v>
      </c>
      <c r="M22">
        <f>116*365*1000</f>
        <v>42340000</v>
      </c>
    </row>
    <row r="23" spans="1:13" x14ac:dyDescent="0.2">
      <c r="A23" t="s">
        <v>54</v>
      </c>
      <c r="B23">
        <v>4</v>
      </c>
      <c r="C23">
        <f t="shared" si="0"/>
        <v>13116.399874450721</v>
      </c>
      <c r="F23">
        <f>F22*$I$8</f>
        <v>13116399.874450721</v>
      </c>
      <c r="G23">
        <f t="shared" si="1"/>
        <v>13116.399874450721</v>
      </c>
      <c r="L23" t="s">
        <v>12</v>
      </c>
      <c r="M23">
        <f>570*365*1000</f>
        <v>208050000</v>
      </c>
    </row>
    <row r="24" spans="1:13" x14ac:dyDescent="0.2">
      <c r="A24" t="s">
        <v>54</v>
      </c>
      <c r="B24">
        <v>5</v>
      </c>
      <c r="C24">
        <f t="shared" si="0"/>
        <v>11893.684631917178</v>
      </c>
      <c r="F24">
        <f>F23*$I$9</f>
        <v>11893684.631917179</v>
      </c>
      <c r="G24">
        <f t="shared" si="1"/>
        <v>11893.684631917178</v>
      </c>
      <c r="L24" t="s">
        <v>51</v>
      </c>
      <c r="M24">
        <f>330*365*1000</f>
        <v>120450000</v>
      </c>
    </row>
    <row r="25" spans="1:13" x14ac:dyDescent="0.2">
      <c r="A25" t="s">
        <v>54</v>
      </c>
      <c r="B25">
        <v>6</v>
      </c>
      <c r="C25">
        <f t="shared" si="0"/>
        <v>10784.951318772355</v>
      </c>
      <c r="F25">
        <f>F24*$I$10</f>
        <v>10784951.318772355</v>
      </c>
      <c r="G25">
        <f t="shared" si="1"/>
        <v>10784.951318772355</v>
      </c>
      <c r="L25" t="s">
        <v>52</v>
      </c>
      <c r="M25">
        <f>148*365*1000</f>
        <v>54020000</v>
      </c>
    </row>
    <row r="26" spans="1:13" x14ac:dyDescent="0.2">
      <c r="A26" t="s">
        <v>54</v>
      </c>
      <c r="B26">
        <v>7</v>
      </c>
      <c r="C26">
        <f t="shared" si="0"/>
        <v>8869.866505158574</v>
      </c>
      <c r="F26">
        <f>F25*$I$11</f>
        <v>8869866.5051585734</v>
      </c>
      <c r="G26">
        <f t="shared" si="1"/>
        <v>8869.866505158574</v>
      </c>
      <c r="L26" t="s">
        <v>19</v>
      </c>
      <c r="M26">
        <f>124*365*1000</f>
        <v>45260000</v>
      </c>
    </row>
    <row r="27" spans="1:13" x14ac:dyDescent="0.2">
      <c r="A27" t="s">
        <v>54</v>
      </c>
      <c r="B27">
        <v>8</v>
      </c>
      <c r="C27">
        <f t="shared" si="0"/>
        <v>7294.8434808780803</v>
      </c>
      <c r="F27">
        <f>F26*$I$12</f>
        <v>7294843.4808780802</v>
      </c>
      <c r="G27">
        <f t="shared" si="1"/>
        <v>7294.8434808780803</v>
      </c>
      <c r="L27" t="s">
        <v>11</v>
      </c>
      <c r="M27">
        <f>1528*365*1000</f>
        <v>557720000</v>
      </c>
    </row>
    <row r="28" spans="1:13" x14ac:dyDescent="0.2">
      <c r="A28" t="s">
        <v>27</v>
      </c>
      <c r="B28">
        <v>1</v>
      </c>
      <c r="C28">
        <f t="shared" si="0"/>
        <v>23927.777777777781</v>
      </c>
      <c r="F28">
        <f>SUMIF($L$6:$L$30,"="&amp;$A28,$M$6:$M$30)*11.8/16.2</f>
        <v>23927777.77777778</v>
      </c>
      <c r="G28">
        <f t="shared" si="1"/>
        <v>23927.777777777781</v>
      </c>
      <c r="L28" t="s">
        <v>16</v>
      </c>
      <c r="M28">
        <f>468*365*1000</f>
        <v>170820000</v>
      </c>
    </row>
    <row r="29" spans="1:13" x14ac:dyDescent="0.2">
      <c r="A29" t="s">
        <v>27</v>
      </c>
      <c r="B29">
        <v>2</v>
      </c>
      <c r="C29">
        <f t="shared" si="0"/>
        <v>23927.777777777781</v>
      </c>
      <c r="F29">
        <f>F28*$I$6</f>
        <v>23927777.77777778</v>
      </c>
      <c r="G29">
        <f t="shared" si="1"/>
        <v>23927.777777777781</v>
      </c>
      <c r="L29" t="s">
        <v>53</v>
      </c>
      <c r="M29">
        <f>68*365*1000</f>
        <v>24820000</v>
      </c>
    </row>
    <row r="30" spans="1:13" x14ac:dyDescent="0.2">
      <c r="A30" t="s">
        <v>27</v>
      </c>
      <c r="B30">
        <v>3</v>
      </c>
      <c r="C30">
        <f t="shared" si="0"/>
        <v>21697.222222222223</v>
      </c>
      <c r="F30">
        <f>F29*$I$7</f>
        <v>21697222.222222224</v>
      </c>
      <c r="G30">
        <f t="shared" si="1"/>
        <v>21697.222222222223</v>
      </c>
      <c r="L30" t="s">
        <v>18</v>
      </c>
      <c r="M30">
        <f>1249*365*1000</f>
        <v>455885000</v>
      </c>
    </row>
    <row r="31" spans="1:13" x14ac:dyDescent="0.2">
      <c r="A31" t="s">
        <v>27</v>
      </c>
      <c r="B31">
        <v>4</v>
      </c>
      <c r="C31">
        <f t="shared" si="0"/>
        <v>19674.599811676082</v>
      </c>
      <c r="F31">
        <f>F30*$I$8</f>
        <v>19674599.811676081</v>
      </c>
      <c r="G31">
        <f t="shared" si="1"/>
        <v>19674.599811676082</v>
      </c>
    </row>
    <row r="32" spans="1:13" x14ac:dyDescent="0.2">
      <c r="A32" t="s">
        <v>27</v>
      </c>
      <c r="B32">
        <v>5</v>
      </c>
      <c r="C32">
        <f t="shared" si="0"/>
        <v>17840.526947875769</v>
      </c>
      <c r="F32">
        <f>F31*$I$9</f>
        <v>17840526.947875768</v>
      </c>
      <c r="G32">
        <f t="shared" si="1"/>
        <v>17840.526947875769</v>
      </c>
    </row>
    <row r="33" spans="1:7" x14ac:dyDescent="0.2">
      <c r="A33" t="s">
        <v>27</v>
      </c>
      <c r="B33">
        <v>6</v>
      </c>
      <c r="C33">
        <f t="shared" si="0"/>
        <v>16177.426978158534</v>
      </c>
      <c r="F33">
        <f>F32*$I$10</f>
        <v>16177426.978158534</v>
      </c>
      <c r="G33">
        <f t="shared" si="1"/>
        <v>16177.426978158534</v>
      </c>
    </row>
    <row r="34" spans="1:7" x14ac:dyDescent="0.2">
      <c r="A34" t="s">
        <v>27</v>
      </c>
      <c r="B34">
        <v>7</v>
      </c>
      <c r="C34">
        <f t="shared" si="0"/>
        <v>13304.799757737859</v>
      </c>
      <c r="F34">
        <f>F33*$I$11</f>
        <v>13304799.75773786</v>
      </c>
      <c r="G34">
        <f t="shared" si="1"/>
        <v>13304.799757737859</v>
      </c>
    </row>
    <row r="35" spans="1:7" x14ac:dyDescent="0.2">
      <c r="A35" t="s">
        <v>27</v>
      </c>
      <c r="B35">
        <v>8</v>
      </c>
      <c r="C35">
        <f t="shared" si="0"/>
        <v>10942.26522131712</v>
      </c>
      <c r="F35">
        <f>F34*$I$12</f>
        <v>10942265.22131712</v>
      </c>
      <c r="G35">
        <f t="shared" si="1"/>
        <v>10942.26522131712</v>
      </c>
    </row>
    <row r="36" spans="1:7" x14ac:dyDescent="0.2">
      <c r="A36" t="s">
        <v>17</v>
      </c>
      <c r="B36">
        <v>1</v>
      </c>
      <c r="C36">
        <f t="shared" si="0"/>
        <v>46526.234567901236</v>
      </c>
      <c r="F36">
        <f>SUMIF($L$6:$L$30,"="&amp;$A36,$M$6:$M$30)*11.8/16.2</f>
        <v>46526234.567901239</v>
      </c>
      <c r="G36">
        <f t="shared" si="1"/>
        <v>46526.234567901236</v>
      </c>
    </row>
    <row r="37" spans="1:7" x14ac:dyDescent="0.2">
      <c r="A37" t="s">
        <v>17</v>
      </c>
      <c r="B37">
        <v>2</v>
      </c>
      <c r="C37">
        <f t="shared" si="0"/>
        <v>46526.234567901236</v>
      </c>
      <c r="F37">
        <f>F36*$I$6</f>
        <v>46526234.567901239</v>
      </c>
      <c r="G37">
        <f t="shared" si="1"/>
        <v>46526.234567901236</v>
      </c>
    </row>
    <row r="38" spans="1:7" x14ac:dyDescent="0.2">
      <c r="A38" t="s">
        <v>17</v>
      </c>
      <c r="B38">
        <v>3</v>
      </c>
      <c r="C38">
        <f t="shared" si="0"/>
        <v>42189.043209876545</v>
      </c>
      <c r="F38">
        <f>F37*$I$7</f>
        <v>42189043.209876545</v>
      </c>
      <c r="G38">
        <f t="shared" si="1"/>
        <v>42189.043209876545</v>
      </c>
    </row>
    <row r="39" spans="1:7" x14ac:dyDescent="0.2">
      <c r="A39" t="s">
        <v>17</v>
      </c>
      <c r="B39">
        <v>4</v>
      </c>
      <c r="C39">
        <f t="shared" si="0"/>
        <v>38256.166300481265</v>
      </c>
      <c r="F39">
        <f>F38*$I$8</f>
        <v>38256166.300481267</v>
      </c>
      <c r="G39">
        <f t="shared" si="1"/>
        <v>38256.166300481265</v>
      </c>
    </row>
    <row r="40" spans="1:7" x14ac:dyDescent="0.2">
      <c r="A40" t="s">
        <v>17</v>
      </c>
      <c r="B40">
        <v>5</v>
      </c>
      <c r="C40">
        <f t="shared" si="0"/>
        <v>34689.913509758437</v>
      </c>
      <c r="F40">
        <f>F39*$I$9</f>
        <v>34689913.509758435</v>
      </c>
      <c r="G40">
        <f t="shared" si="1"/>
        <v>34689.913509758437</v>
      </c>
    </row>
    <row r="41" spans="1:7" x14ac:dyDescent="0.2">
      <c r="A41" t="s">
        <v>17</v>
      </c>
      <c r="B41">
        <v>6</v>
      </c>
      <c r="C41">
        <f t="shared" si="0"/>
        <v>31456.108013086035</v>
      </c>
      <c r="F41">
        <f>F40*$I$10</f>
        <v>31456108.013086036</v>
      </c>
      <c r="G41">
        <f t="shared" si="1"/>
        <v>31456.108013086035</v>
      </c>
    </row>
    <row r="42" spans="1:7" x14ac:dyDescent="0.2">
      <c r="A42" t="s">
        <v>17</v>
      </c>
      <c r="B42">
        <v>7</v>
      </c>
      <c r="C42">
        <f t="shared" si="0"/>
        <v>25870.443973379173</v>
      </c>
      <c r="F42">
        <f>F41*$I$11</f>
        <v>25870443.973379172</v>
      </c>
      <c r="G42">
        <f t="shared" si="1"/>
        <v>25870.443973379173</v>
      </c>
    </row>
    <row r="43" spans="1:7" x14ac:dyDescent="0.2">
      <c r="A43" t="s">
        <v>17</v>
      </c>
      <c r="B43">
        <v>8</v>
      </c>
      <c r="C43">
        <f t="shared" si="0"/>
        <v>21276.626819227731</v>
      </c>
      <c r="F43">
        <f>F42*$I$12</f>
        <v>21276626.819227733</v>
      </c>
      <c r="G43">
        <f t="shared" si="1"/>
        <v>21276.626819227731</v>
      </c>
    </row>
    <row r="44" spans="1:7" x14ac:dyDescent="0.2">
      <c r="A44" t="s">
        <v>55</v>
      </c>
      <c r="B44">
        <v>1</v>
      </c>
      <c r="C44">
        <f t="shared" si="0"/>
        <v>49450.740740740745</v>
      </c>
      <c r="F44">
        <f>SUMIF($L$6:$L$30,"="&amp;$A44,$M$6:$M$30)*11.8/16.2</f>
        <v>49450740.740740746</v>
      </c>
      <c r="G44">
        <f t="shared" si="1"/>
        <v>49450.740740740745</v>
      </c>
    </row>
    <row r="45" spans="1:7" x14ac:dyDescent="0.2">
      <c r="A45" t="s">
        <v>55</v>
      </c>
      <c r="B45">
        <v>2</v>
      </c>
      <c r="C45">
        <f t="shared" si="0"/>
        <v>49450.740740740745</v>
      </c>
      <c r="F45">
        <f>F44*$I$6</f>
        <v>49450740.740740746</v>
      </c>
      <c r="G45">
        <f t="shared" si="1"/>
        <v>49450.740740740745</v>
      </c>
    </row>
    <row r="46" spans="1:7" x14ac:dyDescent="0.2">
      <c r="A46" t="s">
        <v>55</v>
      </c>
      <c r="B46">
        <v>3</v>
      </c>
      <c r="C46">
        <f t="shared" si="0"/>
        <v>44840.925925925927</v>
      </c>
      <c r="F46">
        <f>F45*$I$7</f>
        <v>44840925.925925925</v>
      </c>
      <c r="G46">
        <f t="shared" si="1"/>
        <v>44840.925925925927</v>
      </c>
    </row>
    <row r="47" spans="1:7" x14ac:dyDescent="0.2">
      <c r="A47" t="s">
        <v>55</v>
      </c>
      <c r="B47">
        <v>4</v>
      </c>
      <c r="C47">
        <f t="shared" si="0"/>
        <v>40660.839610797237</v>
      </c>
      <c r="F47">
        <f>F46*$I$8</f>
        <v>40660839.610797234</v>
      </c>
      <c r="G47">
        <f t="shared" si="1"/>
        <v>40660.839610797237</v>
      </c>
    </row>
    <row r="48" spans="1:7" x14ac:dyDescent="0.2">
      <c r="A48" t="s">
        <v>55</v>
      </c>
      <c r="B48">
        <v>5</v>
      </c>
      <c r="C48">
        <f t="shared" si="0"/>
        <v>36870.422358943251</v>
      </c>
      <c r="F48">
        <f>F47*$I$9</f>
        <v>36870422.358943254</v>
      </c>
      <c r="G48">
        <f t="shared" si="1"/>
        <v>36870.422358943251</v>
      </c>
    </row>
    <row r="49" spans="1:7" x14ac:dyDescent="0.2">
      <c r="A49" t="s">
        <v>55</v>
      </c>
      <c r="B49">
        <v>6</v>
      </c>
      <c r="C49">
        <f t="shared" si="0"/>
        <v>33433.3490881943</v>
      </c>
      <c r="F49">
        <f>F48*$I$10</f>
        <v>33433349.088194303</v>
      </c>
      <c r="G49">
        <f t="shared" si="1"/>
        <v>33433.3490881943</v>
      </c>
    </row>
    <row r="50" spans="1:7" x14ac:dyDescent="0.2">
      <c r="A50" t="s">
        <v>55</v>
      </c>
      <c r="B50">
        <v>7</v>
      </c>
      <c r="C50">
        <f t="shared" si="0"/>
        <v>27496.586165991579</v>
      </c>
      <c r="F50">
        <f>F49*$I$11</f>
        <v>27496586.165991578</v>
      </c>
      <c r="G50">
        <f t="shared" si="1"/>
        <v>27496.586165991579</v>
      </c>
    </row>
    <row r="51" spans="1:7" x14ac:dyDescent="0.2">
      <c r="A51" t="s">
        <v>55</v>
      </c>
      <c r="B51">
        <v>8</v>
      </c>
      <c r="C51">
        <f t="shared" si="0"/>
        <v>22614.014790722049</v>
      </c>
      <c r="F51">
        <f>F50*$I$12</f>
        <v>22614014.79072205</v>
      </c>
      <c r="G51">
        <f t="shared" si="1"/>
        <v>22614.014790722049</v>
      </c>
    </row>
    <row r="52" spans="1:7" x14ac:dyDescent="0.2">
      <c r="A52" t="s">
        <v>20</v>
      </c>
      <c r="B52">
        <v>1</v>
      </c>
      <c r="C52">
        <f t="shared" si="0"/>
        <v>70188.148148148146</v>
      </c>
      <c r="F52">
        <f>SUMIF($L$6:$L$30,"="&amp;$A52,$M$6:$M$30)*11.8/16.2</f>
        <v>70188148.148148149</v>
      </c>
      <c r="G52">
        <f t="shared" si="1"/>
        <v>70188.148148148146</v>
      </c>
    </row>
    <row r="53" spans="1:7" x14ac:dyDescent="0.2">
      <c r="A53" t="s">
        <v>20</v>
      </c>
      <c r="B53">
        <v>2</v>
      </c>
      <c r="C53">
        <f t="shared" si="0"/>
        <v>70188.148148148146</v>
      </c>
      <c r="F53">
        <f>F52*$I$6</f>
        <v>70188148.148148149</v>
      </c>
      <c r="G53">
        <f t="shared" si="1"/>
        <v>70188.148148148146</v>
      </c>
    </row>
    <row r="54" spans="1:7" x14ac:dyDescent="0.2">
      <c r="A54" t="s">
        <v>20</v>
      </c>
      <c r="B54">
        <v>3</v>
      </c>
      <c r="C54">
        <f t="shared" si="0"/>
        <v>63645.185185185182</v>
      </c>
      <c r="F54">
        <f>F53*$I$7</f>
        <v>63645185.185185179</v>
      </c>
      <c r="G54">
        <f t="shared" si="1"/>
        <v>63645.185185185182</v>
      </c>
    </row>
    <row r="55" spans="1:7" x14ac:dyDescent="0.2">
      <c r="A55" t="s">
        <v>20</v>
      </c>
      <c r="B55">
        <v>4</v>
      </c>
      <c r="C55">
        <f t="shared" si="0"/>
        <v>57712.159447583166</v>
      </c>
      <c r="F55">
        <f>F54*$I$8</f>
        <v>57712159.447583169</v>
      </c>
      <c r="G55">
        <f t="shared" si="1"/>
        <v>57712.159447583166</v>
      </c>
    </row>
    <row r="56" spans="1:7" x14ac:dyDescent="0.2">
      <c r="A56" t="s">
        <v>20</v>
      </c>
      <c r="B56">
        <v>5</v>
      </c>
      <c r="C56">
        <f t="shared" si="0"/>
        <v>52332.21238043558</v>
      </c>
      <c r="F56">
        <f>F55*$I$9</f>
        <v>52332212.380435579</v>
      </c>
      <c r="G56">
        <f t="shared" si="1"/>
        <v>52332.21238043558</v>
      </c>
    </row>
    <row r="57" spans="1:7" x14ac:dyDescent="0.2">
      <c r="A57" t="s">
        <v>20</v>
      </c>
      <c r="B57">
        <v>6</v>
      </c>
      <c r="C57">
        <f t="shared" si="0"/>
        <v>47453.785802598359</v>
      </c>
      <c r="F57">
        <f>F56*$I$10</f>
        <v>47453785.802598357</v>
      </c>
      <c r="G57">
        <f t="shared" si="1"/>
        <v>47453.785802598359</v>
      </c>
    </row>
    <row r="58" spans="1:7" x14ac:dyDescent="0.2">
      <c r="A58" t="s">
        <v>20</v>
      </c>
      <c r="B58">
        <v>7</v>
      </c>
      <c r="C58">
        <f t="shared" si="0"/>
        <v>39027.412622697717</v>
      </c>
      <c r="F58">
        <f>F57*$I$11</f>
        <v>39027412.622697718</v>
      </c>
      <c r="G58">
        <f t="shared" si="1"/>
        <v>39027.412622697717</v>
      </c>
    </row>
    <row r="59" spans="1:7" x14ac:dyDescent="0.2">
      <c r="A59" t="s">
        <v>20</v>
      </c>
      <c r="B59">
        <v>8</v>
      </c>
      <c r="C59">
        <f t="shared" si="0"/>
        <v>32097.311315863546</v>
      </c>
      <c r="F59">
        <f>F58*$I$12</f>
        <v>32097311.315863546</v>
      </c>
      <c r="G59">
        <f t="shared" si="1"/>
        <v>32097.311315863546</v>
      </c>
    </row>
    <row r="60" spans="1:7" x14ac:dyDescent="0.2">
      <c r="A60" t="s">
        <v>10</v>
      </c>
      <c r="B60">
        <v>1</v>
      </c>
      <c r="C60">
        <f t="shared" si="0"/>
        <v>345091.72839506174</v>
      </c>
      <c r="F60">
        <f>SUMIF($L$6:$L$30,"="&amp;$A60,$M$6:$M$30)*11.8/16.2</f>
        <v>345091728.39506173</v>
      </c>
      <c r="G60">
        <f t="shared" si="1"/>
        <v>345091.72839506174</v>
      </c>
    </row>
    <row r="61" spans="1:7" x14ac:dyDescent="0.2">
      <c r="A61" t="s">
        <v>10</v>
      </c>
      <c r="B61">
        <v>2</v>
      </c>
      <c r="C61">
        <f t="shared" si="0"/>
        <v>345091.72839506174</v>
      </c>
      <c r="F61">
        <f>F60*$I$6</f>
        <v>345091728.39506173</v>
      </c>
      <c r="G61">
        <f t="shared" si="1"/>
        <v>345091.72839506174</v>
      </c>
    </row>
    <row r="62" spans="1:7" x14ac:dyDescent="0.2">
      <c r="A62" t="s">
        <v>10</v>
      </c>
      <c r="B62">
        <v>3</v>
      </c>
      <c r="C62">
        <f t="shared" si="0"/>
        <v>312922.16049382708</v>
      </c>
      <c r="F62">
        <f>F61*$I$7</f>
        <v>312922160.4938271</v>
      </c>
      <c r="G62">
        <f t="shared" si="1"/>
        <v>312922.16049382708</v>
      </c>
    </row>
    <row r="63" spans="1:7" x14ac:dyDescent="0.2">
      <c r="A63" t="s">
        <v>10</v>
      </c>
      <c r="B63">
        <v>4</v>
      </c>
      <c r="C63">
        <f t="shared" si="0"/>
        <v>283751.45061728387</v>
      </c>
      <c r="F63">
        <f>F62*$I$8</f>
        <v>283751450.61728388</v>
      </c>
      <c r="G63">
        <f t="shared" si="1"/>
        <v>283751.45061728387</v>
      </c>
    </row>
    <row r="64" spans="1:7" x14ac:dyDescent="0.2">
      <c r="A64" t="s">
        <v>10</v>
      </c>
      <c r="B64">
        <v>5</v>
      </c>
      <c r="C64">
        <f t="shared" si="0"/>
        <v>257300.04420380824</v>
      </c>
      <c r="F64">
        <f>F63*$I$9</f>
        <v>257300044.20380825</v>
      </c>
      <c r="G64">
        <f t="shared" si="1"/>
        <v>257300.04420380824</v>
      </c>
    </row>
    <row r="65" spans="1:7" x14ac:dyDescent="0.2">
      <c r="A65" t="s">
        <v>10</v>
      </c>
      <c r="B65">
        <v>6</v>
      </c>
      <c r="C65">
        <f t="shared" si="0"/>
        <v>233314.44686277528</v>
      </c>
      <c r="F65">
        <f>F64*$I$10</f>
        <v>233314446.86277527</v>
      </c>
      <c r="G65">
        <f t="shared" si="1"/>
        <v>233314.44686277528</v>
      </c>
    </row>
    <row r="66" spans="1:7" x14ac:dyDescent="0.2">
      <c r="A66" t="s">
        <v>10</v>
      </c>
      <c r="B66">
        <v>7</v>
      </c>
      <c r="C66">
        <f t="shared" si="0"/>
        <v>191884.7787282638</v>
      </c>
      <c r="F66">
        <f>F65*$I$11</f>
        <v>191884778.7282638</v>
      </c>
      <c r="G66">
        <f t="shared" si="1"/>
        <v>191884.7787282638</v>
      </c>
    </row>
    <row r="67" spans="1:7" x14ac:dyDescent="0.2">
      <c r="A67" t="s">
        <v>10</v>
      </c>
      <c r="B67">
        <v>8</v>
      </c>
      <c r="C67">
        <f t="shared" si="0"/>
        <v>157811.78063632912</v>
      </c>
      <c r="F67">
        <f>F66*$I$12</f>
        <v>157811780.63632911</v>
      </c>
      <c r="G67">
        <f t="shared" si="1"/>
        <v>157811.78063632912</v>
      </c>
    </row>
    <row r="68" spans="1:7" x14ac:dyDescent="0.2">
      <c r="A68" t="s">
        <v>8</v>
      </c>
      <c r="B68">
        <v>1</v>
      </c>
      <c r="C68">
        <f t="shared" ref="C68:C131" si="2">G68</f>
        <v>587028.1481481482</v>
      </c>
      <c r="F68">
        <f>SUMIF($L$6:$L$30,"="&amp;$A68,$M$6:$M$30)*11.8/16.2</f>
        <v>587028148.14814818</v>
      </c>
      <c r="G68">
        <f t="shared" si="1"/>
        <v>587028.1481481482</v>
      </c>
    </row>
    <row r="69" spans="1:7" x14ac:dyDescent="0.2">
      <c r="A69" t="s">
        <v>8</v>
      </c>
      <c r="B69">
        <v>2</v>
      </c>
      <c r="C69">
        <f t="shared" si="2"/>
        <v>587028.1481481482</v>
      </c>
      <c r="F69">
        <f>F68*$I$6</f>
        <v>587028148.14814818</v>
      </c>
      <c r="G69">
        <f t="shared" ref="G69:G132" si="3">F69/10^3</f>
        <v>587028.1481481482</v>
      </c>
    </row>
    <row r="70" spans="1:7" x14ac:dyDescent="0.2">
      <c r="A70" t="s">
        <v>8</v>
      </c>
      <c r="B70">
        <v>3</v>
      </c>
      <c r="C70">
        <f t="shared" si="2"/>
        <v>532305.18518518517</v>
      </c>
      <c r="F70">
        <f>F69*$I$7</f>
        <v>532305185.18518513</v>
      </c>
      <c r="G70">
        <f t="shared" si="3"/>
        <v>532305.18518518517</v>
      </c>
    </row>
    <row r="71" spans="1:7" x14ac:dyDescent="0.2">
      <c r="A71" t="s">
        <v>8</v>
      </c>
      <c r="B71">
        <v>4</v>
      </c>
      <c r="C71">
        <f t="shared" si="2"/>
        <v>482683.51537978649</v>
      </c>
      <c r="F71">
        <f>F70*$I$8</f>
        <v>482683515.37978649</v>
      </c>
      <c r="G71">
        <f t="shared" si="3"/>
        <v>482683.51537978649</v>
      </c>
    </row>
    <row r="72" spans="1:7" x14ac:dyDescent="0.2">
      <c r="A72" t="s">
        <v>8</v>
      </c>
      <c r="B72">
        <v>5</v>
      </c>
      <c r="C72">
        <f t="shared" si="2"/>
        <v>437687.59445455211</v>
      </c>
      <c r="F72">
        <f>F71*$I$9</f>
        <v>437687594.45455211</v>
      </c>
      <c r="G72">
        <f t="shared" si="3"/>
        <v>437687.59445455211</v>
      </c>
    </row>
    <row r="73" spans="1:7" x14ac:dyDescent="0.2">
      <c r="A73" t="s">
        <v>8</v>
      </c>
      <c r="B73">
        <v>6</v>
      </c>
      <c r="C73">
        <f t="shared" si="2"/>
        <v>396886.20853082265</v>
      </c>
      <c r="F73">
        <f>F72*$I$10</f>
        <v>396886208.53082263</v>
      </c>
      <c r="G73">
        <f t="shared" si="3"/>
        <v>396886.20853082265</v>
      </c>
    </row>
    <row r="74" spans="1:7" x14ac:dyDescent="0.2">
      <c r="A74" t="s">
        <v>8</v>
      </c>
      <c r="B74">
        <v>7</v>
      </c>
      <c r="C74">
        <f t="shared" si="2"/>
        <v>326411.08738983551</v>
      </c>
      <c r="F74">
        <f>F73*$I$11</f>
        <v>326411087.38983548</v>
      </c>
      <c r="G74">
        <f t="shared" si="3"/>
        <v>326411.08738983551</v>
      </c>
    </row>
    <row r="75" spans="1:7" x14ac:dyDescent="0.2">
      <c r="A75" t="s">
        <v>8</v>
      </c>
      <c r="B75">
        <v>8</v>
      </c>
      <c r="C75">
        <f t="shared" si="2"/>
        <v>268450.2400963133</v>
      </c>
      <c r="F75">
        <f>F74*$I$12</f>
        <v>268450240.0963133</v>
      </c>
      <c r="G75">
        <f t="shared" si="3"/>
        <v>268450.2400963133</v>
      </c>
    </row>
    <row r="76" spans="1:7" x14ac:dyDescent="0.2">
      <c r="A76" t="s">
        <v>24</v>
      </c>
      <c r="B76">
        <v>1</v>
      </c>
      <c r="C76">
        <f t="shared" si="2"/>
        <v>142237.34567901236</v>
      </c>
      <c r="F76">
        <f>SUMIF($L$6:$L$30,"="&amp;$A76,$M$6:$M$30)*11.8/16.2</f>
        <v>142237345.67901236</v>
      </c>
      <c r="G76">
        <f t="shared" si="3"/>
        <v>142237.34567901236</v>
      </c>
    </row>
    <row r="77" spans="1:7" x14ac:dyDescent="0.2">
      <c r="A77" t="s">
        <v>24</v>
      </c>
      <c r="B77">
        <v>2</v>
      </c>
      <c r="C77">
        <f t="shared" si="2"/>
        <v>142237.34567901236</v>
      </c>
      <c r="F77">
        <f>F76*$I$6</f>
        <v>142237345.67901236</v>
      </c>
      <c r="G77">
        <f t="shared" si="3"/>
        <v>142237.34567901236</v>
      </c>
    </row>
    <row r="78" spans="1:7" x14ac:dyDescent="0.2">
      <c r="A78" t="s">
        <v>24</v>
      </c>
      <c r="B78">
        <v>3</v>
      </c>
      <c r="C78">
        <f t="shared" si="2"/>
        <v>128977.93209876544</v>
      </c>
      <c r="F78">
        <f>F77*$I$7</f>
        <v>128977932.09876543</v>
      </c>
      <c r="G78">
        <f t="shared" si="3"/>
        <v>128977.93209876544</v>
      </c>
    </row>
    <row r="79" spans="1:7" x14ac:dyDescent="0.2">
      <c r="A79" t="s">
        <v>24</v>
      </c>
      <c r="B79">
        <v>4</v>
      </c>
      <c r="C79">
        <f t="shared" si="2"/>
        <v>116954.5655471856</v>
      </c>
      <c r="F79">
        <f>F78*$I$8</f>
        <v>116954565.5471856</v>
      </c>
      <c r="G79">
        <f t="shared" si="3"/>
        <v>116954.5655471856</v>
      </c>
    </row>
    <row r="80" spans="1:7" x14ac:dyDescent="0.2">
      <c r="A80" t="s">
        <v>24</v>
      </c>
      <c r="B80">
        <v>5</v>
      </c>
      <c r="C80">
        <f t="shared" si="2"/>
        <v>106052.02130126151</v>
      </c>
      <c r="F80">
        <f>F79*$I$9</f>
        <v>106052021.30126151</v>
      </c>
      <c r="G80">
        <f t="shared" si="3"/>
        <v>106052.02130126151</v>
      </c>
    </row>
    <row r="81" spans="1:7" x14ac:dyDescent="0.2">
      <c r="A81" t="s">
        <v>24</v>
      </c>
      <c r="B81">
        <v>6</v>
      </c>
      <c r="C81">
        <f t="shared" si="2"/>
        <v>96165.815925720191</v>
      </c>
      <c r="F81">
        <f>F80*$I$10</f>
        <v>96165815.925720185</v>
      </c>
      <c r="G81">
        <f t="shared" si="3"/>
        <v>96165.815925720191</v>
      </c>
    </row>
    <row r="82" spans="1:7" x14ac:dyDescent="0.2">
      <c r="A82" t="s">
        <v>24</v>
      </c>
      <c r="B82">
        <v>7</v>
      </c>
      <c r="C82">
        <f t="shared" si="2"/>
        <v>79089.643004330632</v>
      </c>
      <c r="F82">
        <f>F81*$I$11</f>
        <v>79089643.004330635</v>
      </c>
      <c r="G82">
        <f t="shared" si="3"/>
        <v>79089.643004330632</v>
      </c>
    </row>
    <row r="83" spans="1:7" x14ac:dyDescent="0.2">
      <c r="A83" t="s">
        <v>24</v>
      </c>
      <c r="B83">
        <v>8</v>
      </c>
      <c r="C83">
        <f t="shared" si="2"/>
        <v>65045.687704496224</v>
      </c>
      <c r="F83">
        <f>F82*$I$12</f>
        <v>65045687.704496227</v>
      </c>
      <c r="G83">
        <f t="shared" si="3"/>
        <v>65045.687704496224</v>
      </c>
    </row>
    <row r="84" spans="1:7" x14ac:dyDescent="0.2">
      <c r="A84" t="s">
        <v>23</v>
      </c>
      <c r="B84">
        <v>1</v>
      </c>
      <c r="C84">
        <f t="shared" si="2"/>
        <v>43867.592592592599</v>
      </c>
      <c r="F84">
        <f>SUMIF($L$6:$L$30,"="&amp;$A84,$M$6:$M$30)*11.8/16.2</f>
        <v>43867592.592592597</v>
      </c>
      <c r="G84">
        <f t="shared" si="3"/>
        <v>43867.592592592599</v>
      </c>
    </row>
    <row r="85" spans="1:7" x14ac:dyDescent="0.2">
      <c r="A85" t="s">
        <v>23</v>
      </c>
      <c r="B85">
        <v>2</v>
      </c>
      <c r="C85">
        <f t="shared" si="2"/>
        <v>43867.592592592599</v>
      </c>
      <c r="F85">
        <f>F84*$I$6</f>
        <v>43867592.592592597</v>
      </c>
      <c r="G85">
        <f t="shared" si="3"/>
        <v>43867.592592592599</v>
      </c>
    </row>
    <row r="86" spans="1:7" x14ac:dyDescent="0.2">
      <c r="A86" t="s">
        <v>23</v>
      </c>
      <c r="B86">
        <v>3</v>
      </c>
      <c r="C86">
        <f t="shared" si="2"/>
        <v>39778.240740740737</v>
      </c>
      <c r="F86">
        <f>F85*$I$7</f>
        <v>39778240.740740739</v>
      </c>
      <c r="G86">
        <f t="shared" si="3"/>
        <v>39778.240740740737</v>
      </c>
    </row>
    <row r="87" spans="1:7" x14ac:dyDescent="0.2">
      <c r="A87" t="s">
        <v>23</v>
      </c>
      <c r="B87">
        <v>4</v>
      </c>
      <c r="C87">
        <f t="shared" si="2"/>
        <v>36070.099654739475</v>
      </c>
      <c r="F87">
        <f>F86*$I$8</f>
        <v>36070099.654739477</v>
      </c>
      <c r="G87">
        <f t="shared" si="3"/>
        <v>36070.099654739475</v>
      </c>
    </row>
    <row r="88" spans="1:7" x14ac:dyDescent="0.2">
      <c r="A88" t="s">
        <v>23</v>
      </c>
      <c r="B88">
        <v>5</v>
      </c>
      <c r="C88">
        <f t="shared" si="2"/>
        <v>32707.632737772234</v>
      </c>
      <c r="F88">
        <f>F87*$I$9</f>
        <v>32707632.737772234</v>
      </c>
      <c r="G88">
        <f t="shared" si="3"/>
        <v>32707.632737772234</v>
      </c>
    </row>
    <row r="89" spans="1:7" x14ac:dyDescent="0.2">
      <c r="A89" t="s">
        <v>23</v>
      </c>
      <c r="B89">
        <v>6</v>
      </c>
      <c r="C89">
        <f t="shared" si="2"/>
        <v>29658.616126623972</v>
      </c>
      <c r="F89">
        <f>F88*$I$10</f>
        <v>29658616.126623973</v>
      </c>
      <c r="G89">
        <f t="shared" si="3"/>
        <v>29658.616126623972</v>
      </c>
    </row>
    <row r="90" spans="1:7" x14ac:dyDescent="0.2">
      <c r="A90" t="s">
        <v>23</v>
      </c>
      <c r="B90">
        <v>7</v>
      </c>
      <c r="C90">
        <f t="shared" si="2"/>
        <v>24392.132889186072</v>
      </c>
      <c r="F90">
        <f>F89*$I$11</f>
        <v>24392132.889186073</v>
      </c>
      <c r="G90">
        <f t="shared" si="3"/>
        <v>24392.132889186072</v>
      </c>
    </row>
    <row r="91" spans="1:7" x14ac:dyDescent="0.2">
      <c r="A91" t="s">
        <v>23</v>
      </c>
      <c r="B91">
        <v>8</v>
      </c>
      <c r="C91">
        <f t="shared" si="2"/>
        <v>20060.819572414715</v>
      </c>
      <c r="F91">
        <f>F90*$I$12</f>
        <v>20060819.572414715</v>
      </c>
      <c r="G91">
        <f t="shared" si="3"/>
        <v>20060.819572414715</v>
      </c>
    </row>
    <row r="92" spans="1:7" x14ac:dyDescent="0.2">
      <c r="A92" t="s">
        <v>47</v>
      </c>
      <c r="B92">
        <v>1</v>
      </c>
      <c r="C92">
        <f t="shared" si="2"/>
        <v>19939.814814814818</v>
      </c>
      <c r="F92">
        <f>SUMIF($L$6:$L$30,"="&amp;$A92,$M$6:$M$30)*11.8/16.2</f>
        <v>19939814.814814817</v>
      </c>
      <c r="G92">
        <f t="shared" si="3"/>
        <v>19939.814814814818</v>
      </c>
    </row>
    <row r="93" spans="1:7" x14ac:dyDescent="0.2">
      <c r="A93" t="s">
        <v>47</v>
      </c>
      <c r="B93">
        <v>2</v>
      </c>
      <c r="C93">
        <f t="shared" si="2"/>
        <v>19939.814814814818</v>
      </c>
      <c r="F93">
        <f>F92*$I$6</f>
        <v>19939814.814814817</v>
      </c>
      <c r="G93">
        <f t="shared" si="3"/>
        <v>19939.814814814818</v>
      </c>
    </row>
    <row r="94" spans="1:7" x14ac:dyDescent="0.2">
      <c r="A94" t="s">
        <v>47</v>
      </c>
      <c r="B94">
        <v>3</v>
      </c>
      <c r="C94">
        <f t="shared" si="2"/>
        <v>18081.018518518518</v>
      </c>
      <c r="F94">
        <f>F93*$I$7</f>
        <v>18081018.518518519</v>
      </c>
      <c r="G94">
        <f t="shared" si="3"/>
        <v>18081.018518518518</v>
      </c>
    </row>
    <row r="95" spans="1:7" x14ac:dyDescent="0.2">
      <c r="A95" t="s">
        <v>47</v>
      </c>
      <c r="B95">
        <v>4</v>
      </c>
      <c r="C95">
        <f t="shared" si="2"/>
        <v>16395.4998430634</v>
      </c>
      <c r="F95">
        <f>F94*$I$8</f>
        <v>16395499.843063401</v>
      </c>
      <c r="G95">
        <f t="shared" si="3"/>
        <v>16395.4998430634</v>
      </c>
    </row>
    <row r="96" spans="1:7" x14ac:dyDescent="0.2">
      <c r="A96" t="s">
        <v>47</v>
      </c>
      <c r="B96">
        <v>5</v>
      </c>
      <c r="C96">
        <f t="shared" si="2"/>
        <v>14867.105789896474</v>
      </c>
      <c r="F96">
        <f>F95*$I$9</f>
        <v>14867105.789896473</v>
      </c>
      <c r="G96">
        <f t="shared" si="3"/>
        <v>14867.105789896474</v>
      </c>
    </row>
    <row r="97" spans="1:7" x14ac:dyDescent="0.2">
      <c r="A97" t="s">
        <v>47</v>
      </c>
      <c r="B97">
        <v>6</v>
      </c>
      <c r="C97">
        <f t="shared" si="2"/>
        <v>13481.189148465446</v>
      </c>
      <c r="F97">
        <f>F96*$I$10</f>
        <v>13481189.148465445</v>
      </c>
      <c r="G97">
        <f t="shared" si="3"/>
        <v>13481.189148465446</v>
      </c>
    </row>
    <row r="98" spans="1:7" x14ac:dyDescent="0.2">
      <c r="A98" t="s">
        <v>47</v>
      </c>
      <c r="B98">
        <v>7</v>
      </c>
      <c r="C98">
        <f t="shared" si="2"/>
        <v>11087.333131448218</v>
      </c>
      <c r="F98">
        <f>F97*$I$11</f>
        <v>11087333.131448219</v>
      </c>
      <c r="G98">
        <f t="shared" si="3"/>
        <v>11087.333131448218</v>
      </c>
    </row>
    <row r="99" spans="1:7" x14ac:dyDescent="0.2">
      <c r="A99" t="s">
        <v>47</v>
      </c>
      <c r="B99">
        <v>8</v>
      </c>
      <c r="C99">
        <f t="shared" si="2"/>
        <v>9118.5543510976004</v>
      </c>
      <c r="F99">
        <f>F98*$I$12</f>
        <v>9118554.3510976005</v>
      </c>
      <c r="G99">
        <f t="shared" si="3"/>
        <v>9118.5543510976004</v>
      </c>
    </row>
    <row r="100" spans="1:7" x14ac:dyDescent="0.2">
      <c r="A100" t="s">
        <v>9</v>
      </c>
      <c r="B100">
        <v>1</v>
      </c>
      <c r="C100">
        <f t="shared" si="2"/>
        <v>459945.06172839511</v>
      </c>
      <c r="F100">
        <f>SUMIF($L$6:$L$30,"="&amp;$A100,$M$6:$M$30)*11.8/16.2</f>
        <v>459945061.7283951</v>
      </c>
      <c r="G100">
        <f t="shared" si="3"/>
        <v>459945.06172839511</v>
      </c>
    </row>
    <row r="101" spans="1:7" x14ac:dyDescent="0.2">
      <c r="A101" t="s">
        <v>9</v>
      </c>
      <c r="B101">
        <v>2</v>
      </c>
      <c r="C101">
        <f t="shared" si="2"/>
        <v>459945.06172839511</v>
      </c>
      <c r="F101">
        <f>F100*$I$6</f>
        <v>459945061.7283951</v>
      </c>
      <c r="G101">
        <f t="shared" si="3"/>
        <v>459945.06172839511</v>
      </c>
    </row>
    <row r="102" spans="1:7" x14ac:dyDescent="0.2">
      <c r="A102" t="s">
        <v>9</v>
      </c>
      <c r="B102">
        <v>3</v>
      </c>
      <c r="C102">
        <f t="shared" si="2"/>
        <v>417068.82716049388</v>
      </c>
      <c r="F102">
        <f>F101*$I$7</f>
        <v>417068827.16049385</v>
      </c>
      <c r="G102">
        <f t="shared" si="3"/>
        <v>417068.82716049388</v>
      </c>
    </row>
    <row r="103" spans="1:7" x14ac:dyDescent="0.2">
      <c r="A103" t="s">
        <v>9</v>
      </c>
      <c r="B103">
        <v>4</v>
      </c>
      <c r="C103">
        <f t="shared" si="2"/>
        <v>378189.52971332916</v>
      </c>
      <c r="F103">
        <f>F102*$I$8</f>
        <v>378189529.71332914</v>
      </c>
      <c r="G103">
        <f t="shared" si="3"/>
        <v>378189.52971332916</v>
      </c>
    </row>
    <row r="104" spans="1:7" x14ac:dyDescent="0.2">
      <c r="A104" t="s">
        <v>9</v>
      </c>
      <c r="B104">
        <v>5</v>
      </c>
      <c r="C104">
        <f t="shared" si="2"/>
        <v>342934.57355361199</v>
      </c>
      <c r="F104">
        <f>F103*$I$9</f>
        <v>342934573.55361199</v>
      </c>
      <c r="G104">
        <f t="shared" si="3"/>
        <v>342934.57355361199</v>
      </c>
    </row>
    <row r="105" spans="1:7" x14ac:dyDescent="0.2">
      <c r="A105" t="s">
        <v>9</v>
      </c>
      <c r="B105">
        <v>6</v>
      </c>
      <c r="C105">
        <f t="shared" si="2"/>
        <v>310966.09635793627</v>
      </c>
      <c r="F105">
        <f>F104*$I$10</f>
        <v>310966096.35793626</v>
      </c>
      <c r="G105">
        <f t="shared" si="3"/>
        <v>310966.09635793627</v>
      </c>
    </row>
    <row r="106" spans="1:7" x14ac:dyDescent="0.2">
      <c r="A106" t="s">
        <v>9</v>
      </c>
      <c r="B106">
        <v>7</v>
      </c>
      <c r="C106">
        <f t="shared" si="2"/>
        <v>255747.81756540554</v>
      </c>
      <c r="F106">
        <f>F105*$I$11</f>
        <v>255747817.56540555</v>
      </c>
      <c r="G106">
        <f t="shared" si="3"/>
        <v>255747.81756540554</v>
      </c>
    </row>
    <row r="107" spans="1:7" x14ac:dyDescent="0.2">
      <c r="A107" t="s">
        <v>9</v>
      </c>
      <c r="B107">
        <v>8</v>
      </c>
      <c r="C107">
        <f t="shared" si="2"/>
        <v>210334.65369865132</v>
      </c>
      <c r="F107">
        <f>F106*$I$12</f>
        <v>210334653.69865131</v>
      </c>
      <c r="G107">
        <f t="shared" si="3"/>
        <v>210334.65369865132</v>
      </c>
    </row>
    <row r="108" spans="1:7" x14ac:dyDescent="0.2">
      <c r="A108" t="s">
        <v>49</v>
      </c>
      <c r="B108">
        <v>1</v>
      </c>
      <c r="C108">
        <f t="shared" si="2"/>
        <v>54502.160493827163</v>
      </c>
      <c r="F108">
        <f>SUMIF($L$6:$L$30,"="&amp;$A108,$M$6:$M$30)*11.8/16.2</f>
        <v>54502160.493827164</v>
      </c>
      <c r="G108">
        <f t="shared" si="3"/>
        <v>54502.160493827163</v>
      </c>
    </row>
    <row r="109" spans="1:7" x14ac:dyDescent="0.2">
      <c r="A109" t="s">
        <v>49</v>
      </c>
      <c r="B109">
        <v>2</v>
      </c>
      <c r="C109">
        <f t="shared" si="2"/>
        <v>54502.160493827163</v>
      </c>
      <c r="F109">
        <f>F108*$I$6</f>
        <v>54502160.493827164</v>
      </c>
      <c r="G109">
        <f t="shared" si="3"/>
        <v>54502.160493827163</v>
      </c>
    </row>
    <row r="110" spans="1:7" x14ac:dyDescent="0.2">
      <c r="A110" t="s">
        <v>49</v>
      </c>
      <c r="B110">
        <v>3</v>
      </c>
      <c r="C110">
        <f t="shared" si="2"/>
        <v>49421.450617283946</v>
      </c>
      <c r="F110">
        <f>F109*$I$7</f>
        <v>49421450.617283948</v>
      </c>
      <c r="G110">
        <f t="shared" si="3"/>
        <v>49421.450617283946</v>
      </c>
    </row>
    <row r="111" spans="1:7" x14ac:dyDescent="0.2">
      <c r="A111" t="s">
        <v>49</v>
      </c>
      <c r="B111">
        <v>4</v>
      </c>
      <c r="C111">
        <f t="shared" si="2"/>
        <v>44814.366237706621</v>
      </c>
      <c r="F111">
        <f>F110*$I$8</f>
        <v>44814366.237706624</v>
      </c>
      <c r="G111">
        <f t="shared" si="3"/>
        <v>44814.366237706621</v>
      </c>
    </row>
    <row r="112" spans="1:7" x14ac:dyDescent="0.2">
      <c r="A112" t="s">
        <v>49</v>
      </c>
      <c r="B112">
        <v>5</v>
      </c>
      <c r="C112">
        <f t="shared" si="2"/>
        <v>40636.755825717017</v>
      </c>
      <c r="F112">
        <f>F111*$I$9</f>
        <v>40636755.825717017</v>
      </c>
      <c r="G112">
        <f t="shared" si="3"/>
        <v>40636.755825717017</v>
      </c>
    </row>
    <row r="113" spans="1:7" x14ac:dyDescent="0.2">
      <c r="A113" t="s">
        <v>49</v>
      </c>
      <c r="B113">
        <v>6</v>
      </c>
      <c r="C113">
        <f t="shared" si="2"/>
        <v>36848.58367247221</v>
      </c>
      <c r="F113">
        <f>F112*$I$10</f>
        <v>36848583.672472209</v>
      </c>
      <c r="G113">
        <f t="shared" si="3"/>
        <v>36848.58367247221</v>
      </c>
    </row>
    <row r="114" spans="1:7" x14ac:dyDescent="0.2">
      <c r="A114" t="s">
        <v>49</v>
      </c>
      <c r="B114">
        <v>7</v>
      </c>
      <c r="C114">
        <f t="shared" si="2"/>
        <v>30305.377225958455</v>
      </c>
      <c r="F114">
        <f>F113*$I$11</f>
        <v>30305377.225958455</v>
      </c>
      <c r="G114">
        <f t="shared" si="3"/>
        <v>30305.377225958455</v>
      </c>
    </row>
    <row r="115" spans="1:7" x14ac:dyDescent="0.2">
      <c r="A115" t="s">
        <v>49</v>
      </c>
      <c r="B115">
        <v>8</v>
      </c>
      <c r="C115">
        <f t="shared" si="2"/>
        <v>24924.048559666771</v>
      </c>
      <c r="F115">
        <f>F114*$I$12</f>
        <v>24924048.559666771</v>
      </c>
      <c r="G115">
        <f t="shared" si="3"/>
        <v>24924.048559666771</v>
      </c>
    </row>
    <row r="116" spans="1:7" x14ac:dyDescent="0.2">
      <c r="A116" t="s">
        <v>15</v>
      </c>
      <c r="B116">
        <v>1</v>
      </c>
      <c r="C116">
        <f t="shared" si="2"/>
        <v>357587.34567901236</v>
      </c>
      <c r="F116">
        <f>SUMIF($L$6:$L$30,"="&amp;$A116,$M$6:$M$30)*11.8/16.2</f>
        <v>357587345.67901236</v>
      </c>
      <c r="G116">
        <f t="shared" si="3"/>
        <v>357587.34567901236</v>
      </c>
    </row>
    <row r="117" spans="1:7" x14ac:dyDescent="0.2">
      <c r="A117" t="s">
        <v>15</v>
      </c>
      <c r="B117">
        <v>2</v>
      </c>
      <c r="C117">
        <f t="shared" si="2"/>
        <v>357587.34567901236</v>
      </c>
      <c r="F117">
        <f>F116*$I$6</f>
        <v>357587345.67901236</v>
      </c>
      <c r="G117">
        <f t="shared" si="3"/>
        <v>357587.34567901236</v>
      </c>
    </row>
    <row r="118" spans="1:7" x14ac:dyDescent="0.2">
      <c r="A118" t="s">
        <v>15</v>
      </c>
      <c r="B118">
        <v>3</v>
      </c>
      <c r="C118">
        <f t="shared" si="2"/>
        <v>324252.93209876545</v>
      </c>
      <c r="F118">
        <f>F117*$I$7</f>
        <v>324252932.09876543</v>
      </c>
      <c r="G118">
        <f t="shared" si="3"/>
        <v>324252.93209876545</v>
      </c>
    </row>
    <row r="119" spans="1:7" x14ac:dyDescent="0.2">
      <c r="A119" t="s">
        <v>15</v>
      </c>
      <c r="B119">
        <v>4</v>
      </c>
      <c r="C119">
        <f t="shared" si="2"/>
        <v>294025.96385227033</v>
      </c>
      <c r="F119">
        <f>F118*$I$8</f>
        <v>294025963.85227031</v>
      </c>
      <c r="G119">
        <f t="shared" si="3"/>
        <v>294025.96385227033</v>
      </c>
    </row>
    <row r="120" spans="1:7" x14ac:dyDescent="0.2">
      <c r="A120" t="s">
        <v>15</v>
      </c>
      <c r="B120">
        <v>5</v>
      </c>
      <c r="C120">
        <f t="shared" si="2"/>
        <v>266616.76383214339</v>
      </c>
      <c r="F120">
        <f>F119*$I$9</f>
        <v>266616763.8321434</v>
      </c>
      <c r="G120">
        <f t="shared" si="3"/>
        <v>266616.76383214339</v>
      </c>
    </row>
    <row r="121" spans="1:7" x14ac:dyDescent="0.2">
      <c r="A121" t="s">
        <v>15</v>
      </c>
      <c r="B121">
        <v>6</v>
      </c>
      <c r="C121">
        <f t="shared" si="2"/>
        <v>241762.65872914696</v>
      </c>
      <c r="F121">
        <f>F120*$I$10</f>
        <v>241762658.72914696</v>
      </c>
      <c r="G121">
        <f t="shared" si="3"/>
        <v>241762.65872914696</v>
      </c>
    </row>
    <row r="122" spans="1:7" x14ac:dyDescent="0.2">
      <c r="A122" t="s">
        <v>15</v>
      </c>
      <c r="B122">
        <v>7</v>
      </c>
      <c r="C122">
        <f t="shared" si="2"/>
        <v>198832.84082397138</v>
      </c>
      <c r="F122">
        <f>F121*$I$11</f>
        <v>198832840.82397136</v>
      </c>
      <c r="G122">
        <f t="shared" si="3"/>
        <v>198832.84082397138</v>
      </c>
    </row>
    <row r="123" spans="1:7" x14ac:dyDescent="0.2">
      <c r="A123" t="s">
        <v>15</v>
      </c>
      <c r="B123">
        <v>8</v>
      </c>
      <c r="C123">
        <f t="shared" si="2"/>
        <v>163526.07469635032</v>
      </c>
      <c r="F123">
        <f>F122*$I$12</f>
        <v>163526074.69635031</v>
      </c>
      <c r="G123">
        <f t="shared" si="3"/>
        <v>163526.07469635032</v>
      </c>
    </row>
    <row r="124" spans="1:7" x14ac:dyDescent="0.2">
      <c r="A124" t="s">
        <v>60</v>
      </c>
      <c r="B124">
        <v>1</v>
      </c>
      <c r="C124">
        <f t="shared" si="2"/>
        <v>54502.160493827163</v>
      </c>
      <c r="F124">
        <f>SUMIF($L$6:$L$30,"="&amp;$A124,$M$6:$M$30)*11.8/16.2</f>
        <v>54502160.493827164</v>
      </c>
      <c r="G124">
        <f t="shared" si="3"/>
        <v>54502.160493827163</v>
      </c>
    </row>
    <row r="125" spans="1:7" x14ac:dyDescent="0.2">
      <c r="A125" t="s">
        <v>60</v>
      </c>
      <c r="B125">
        <v>2</v>
      </c>
      <c r="C125">
        <f t="shared" si="2"/>
        <v>54502.160493827163</v>
      </c>
      <c r="F125">
        <f>F124*$I$6</f>
        <v>54502160.493827164</v>
      </c>
      <c r="G125">
        <f t="shared" si="3"/>
        <v>54502.160493827163</v>
      </c>
    </row>
    <row r="126" spans="1:7" x14ac:dyDescent="0.2">
      <c r="A126" t="s">
        <v>60</v>
      </c>
      <c r="B126">
        <v>3</v>
      </c>
      <c r="C126">
        <f t="shared" si="2"/>
        <v>49421.450617283946</v>
      </c>
      <c r="F126">
        <f>F125*$I$7</f>
        <v>49421450.617283948</v>
      </c>
      <c r="G126">
        <f t="shared" si="3"/>
        <v>49421.450617283946</v>
      </c>
    </row>
    <row r="127" spans="1:7" x14ac:dyDescent="0.2">
      <c r="A127" t="s">
        <v>60</v>
      </c>
      <c r="B127">
        <v>4</v>
      </c>
      <c r="C127">
        <f t="shared" si="2"/>
        <v>44814.366237706621</v>
      </c>
      <c r="F127">
        <f>F126*$I$8</f>
        <v>44814366.237706624</v>
      </c>
      <c r="G127">
        <f t="shared" si="3"/>
        <v>44814.366237706621</v>
      </c>
    </row>
    <row r="128" spans="1:7" x14ac:dyDescent="0.2">
      <c r="A128" t="s">
        <v>60</v>
      </c>
      <c r="B128">
        <v>5</v>
      </c>
      <c r="C128">
        <f t="shared" si="2"/>
        <v>40636.755825717017</v>
      </c>
      <c r="F128">
        <f>F127*$I$9</f>
        <v>40636755.825717017</v>
      </c>
      <c r="G128">
        <f t="shared" si="3"/>
        <v>40636.755825717017</v>
      </c>
    </row>
    <row r="129" spans="1:7" x14ac:dyDescent="0.2">
      <c r="A129" t="s">
        <v>60</v>
      </c>
      <c r="B129">
        <v>6</v>
      </c>
      <c r="C129">
        <f t="shared" si="2"/>
        <v>36848.58367247221</v>
      </c>
      <c r="F129">
        <f>F128*$I$10</f>
        <v>36848583.672472209</v>
      </c>
      <c r="G129">
        <f t="shared" si="3"/>
        <v>36848.58367247221</v>
      </c>
    </row>
    <row r="130" spans="1:7" x14ac:dyDescent="0.2">
      <c r="A130" t="s">
        <v>60</v>
      </c>
      <c r="B130">
        <v>7</v>
      </c>
      <c r="C130">
        <f t="shared" si="2"/>
        <v>30305.377225958455</v>
      </c>
      <c r="F130">
        <f>F129*$I$11</f>
        <v>30305377.225958455</v>
      </c>
      <c r="G130">
        <f t="shared" si="3"/>
        <v>30305.377225958455</v>
      </c>
    </row>
    <row r="131" spans="1:7" x14ac:dyDescent="0.2">
      <c r="A131" t="s">
        <v>60</v>
      </c>
      <c r="B131">
        <v>8</v>
      </c>
      <c r="C131">
        <f t="shared" si="2"/>
        <v>24924.048559666771</v>
      </c>
      <c r="F131">
        <f>F130*$I$12</f>
        <v>24924048.559666771</v>
      </c>
      <c r="G131">
        <f t="shared" si="3"/>
        <v>24924.048559666771</v>
      </c>
    </row>
    <row r="132" spans="1:7" x14ac:dyDescent="0.2">
      <c r="A132" t="s">
        <v>56</v>
      </c>
      <c r="B132">
        <v>1</v>
      </c>
      <c r="C132">
        <f t="shared" ref="C132:C195" si="4">G132</f>
        <v>30840.246913580253</v>
      </c>
      <c r="F132">
        <f>SUMIF($L$6:$L$30,"="&amp;$A132,$M$6:$M$30)*11.8/16.2</f>
        <v>30840246.913580254</v>
      </c>
      <c r="G132">
        <f t="shared" si="3"/>
        <v>30840.246913580253</v>
      </c>
    </row>
    <row r="133" spans="1:7" x14ac:dyDescent="0.2">
      <c r="A133" t="s">
        <v>56</v>
      </c>
      <c r="B133">
        <v>2</v>
      </c>
      <c r="C133">
        <f t="shared" si="4"/>
        <v>30840.246913580253</v>
      </c>
      <c r="F133">
        <f>F132*$I$6</f>
        <v>30840246.913580254</v>
      </c>
      <c r="G133">
        <f t="shared" ref="G133:G196" si="5">F133/10^3</f>
        <v>30840.246913580253</v>
      </c>
    </row>
    <row r="134" spans="1:7" x14ac:dyDescent="0.2">
      <c r="A134" t="s">
        <v>56</v>
      </c>
      <c r="B134">
        <v>3</v>
      </c>
      <c r="C134">
        <f t="shared" si="4"/>
        <v>27965.308641975313</v>
      </c>
      <c r="F134">
        <f>F133*$I$7</f>
        <v>27965308.641975313</v>
      </c>
      <c r="G134">
        <f t="shared" si="5"/>
        <v>27965.308641975313</v>
      </c>
    </row>
    <row r="135" spans="1:7" x14ac:dyDescent="0.2">
      <c r="A135" t="s">
        <v>56</v>
      </c>
      <c r="B135">
        <v>4</v>
      </c>
      <c r="C135">
        <f t="shared" si="4"/>
        <v>25358.373090604731</v>
      </c>
      <c r="F135">
        <f>F134*$I$8</f>
        <v>25358373.09060473</v>
      </c>
      <c r="G135">
        <f t="shared" si="5"/>
        <v>25358.373090604731</v>
      </c>
    </row>
    <row r="136" spans="1:7" x14ac:dyDescent="0.2">
      <c r="A136" t="s">
        <v>56</v>
      </c>
      <c r="B136">
        <v>5</v>
      </c>
      <c r="C136">
        <f t="shared" si="4"/>
        <v>22994.456955039881</v>
      </c>
      <c r="F136">
        <f>F135*$I$9</f>
        <v>22994456.955039881</v>
      </c>
      <c r="G136">
        <f t="shared" si="5"/>
        <v>22994.456955039881</v>
      </c>
    </row>
    <row r="137" spans="1:7" x14ac:dyDescent="0.2">
      <c r="A137" t="s">
        <v>56</v>
      </c>
      <c r="B137">
        <v>6</v>
      </c>
      <c r="C137">
        <f t="shared" si="4"/>
        <v>20850.905882959891</v>
      </c>
      <c r="F137">
        <f>F136*$I$10</f>
        <v>20850905.882959891</v>
      </c>
      <c r="G137">
        <f t="shared" si="5"/>
        <v>20850.905882959891</v>
      </c>
    </row>
    <row r="138" spans="1:7" x14ac:dyDescent="0.2">
      <c r="A138" t="s">
        <v>56</v>
      </c>
      <c r="B138">
        <v>7</v>
      </c>
      <c r="C138">
        <f t="shared" si="4"/>
        <v>17148.408576639915</v>
      </c>
      <c r="F138">
        <f>F137*$I$11</f>
        <v>17148408.576639913</v>
      </c>
      <c r="G138">
        <f t="shared" si="5"/>
        <v>17148.408576639915</v>
      </c>
    </row>
    <row r="139" spans="1:7" x14ac:dyDescent="0.2">
      <c r="A139" t="s">
        <v>56</v>
      </c>
      <c r="B139">
        <v>8</v>
      </c>
      <c r="C139">
        <f t="shared" si="4"/>
        <v>14103.364063030958</v>
      </c>
      <c r="F139">
        <f>F138*$I$12</f>
        <v>14103364.063030958</v>
      </c>
      <c r="G139">
        <f t="shared" si="5"/>
        <v>14103.364063030958</v>
      </c>
    </row>
    <row r="140" spans="1:7" x14ac:dyDescent="0.2">
      <c r="A140" t="s">
        <v>12</v>
      </c>
      <c r="B140">
        <v>1</v>
      </c>
      <c r="C140">
        <f t="shared" si="4"/>
        <v>151542.59259259258</v>
      </c>
      <c r="F140">
        <f>SUMIF($L$6:$L$30,"="&amp;$A140,$M$6:$M$30)*11.8/16.2</f>
        <v>151542592.5925926</v>
      </c>
      <c r="G140">
        <f t="shared" si="5"/>
        <v>151542.59259259258</v>
      </c>
    </row>
    <row r="141" spans="1:7" x14ac:dyDescent="0.2">
      <c r="A141" t="s">
        <v>12</v>
      </c>
      <c r="B141">
        <v>2</v>
      </c>
      <c r="C141">
        <f t="shared" si="4"/>
        <v>151542.59259259258</v>
      </c>
      <c r="F141">
        <f>F140*$I$6</f>
        <v>151542592.5925926</v>
      </c>
      <c r="G141">
        <f t="shared" si="5"/>
        <v>151542.59259259258</v>
      </c>
    </row>
    <row r="142" spans="1:7" x14ac:dyDescent="0.2">
      <c r="A142" t="s">
        <v>12</v>
      </c>
      <c r="B142">
        <v>3</v>
      </c>
      <c r="C142">
        <f t="shared" si="4"/>
        <v>137415.74074074076</v>
      </c>
      <c r="F142">
        <f>F141*$I$7</f>
        <v>137415740.74074075</v>
      </c>
      <c r="G142">
        <f t="shared" si="5"/>
        <v>137415.74074074076</v>
      </c>
    </row>
    <row r="143" spans="1:7" x14ac:dyDescent="0.2">
      <c r="A143" t="s">
        <v>12</v>
      </c>
      <c r="B143">
        <v>4</v>
      </c>
      <c r="C143">
        <f t="shared" si="4"/>
        <v>124605.79880728186</v>
      </c>
      <c r="F143">
        <f>F142*$I$8</f>
        <v>124605798.80728185</v>
      </c>
      <c r="G143">
        <f t="shared" si="5"/>
        <v>124605.79880728186</v>
      </c>
    </row>
    <row r="144" spans="1:7" x14ac:dyDescent="0.2">
      <c r="A144" t="s">
        <v>12</v>
      </c>
      <c r="B144">
        <v>5</v>
      </c>
      <c r="C144">
        <f t="shared" si="4"/>
        <v>112990.00400321319</v>
      </c>
      <c r="F144">
        <f>F143*$I$9</f>
        <v>112990004.0032132</v>
      </c>
      <c r="G144">
        <f t="shared" si="5"/>
        <v>112990.00400321319</v>
      </c>
    </row>
    <row r="145" spans="1:7" x14ac:dyDescent="0.2">
      <c r="A145" t="s">
        <v>12</v>
      </c>
      <c r="B145">
        <v>6</v>
      </c>
      <c r="C145">
        <f t="shared" si="4"/>
        <v>102457.03752833737</v>
      </c>
      <c r="F145">
        <f>F144*$I$10</f>
        <v>102457037.52833737</v>
      </c>
      <c r="G145">
        <f t="shared" si="5"/>
        <v>102457.03752833737</v>
      </c>
    </row>
    <row r="146" spans="1:7" x14ac:dyDescent="0.2">
      <c r="A146" t="s">
        <v>12</v>
      </c>
      <c r="B146">
        <v>7</v>
      </c>
      <c r="C146">
        <f t="shared" si="4"/>
        <v>84263.731799006448</v>
      </c>
      <c r="F146">
        <f>F145*$I$11</f>
        <v>84263731.799006447</v>
      </c>
      <c r="G146">
        <f t="shared" si="5"/>
        <v>84263.731799006448</v>
      </c>
    </row>
    <row r="147" spans="1:7" x14ac:dyDescent="0.2">
      <c r="A147" t="s">
        <v>12</v>
      </c>
      <c r="B147">
        <v>8</v>
      </c>
      <c r="C147">
        <f t="shared" si="4"/>
        <v>69301.013068341766</v>
      </c>
      <c r="F147">
        <f>F146*$I$12</f>
        <v>69301013.068341762</v>
      </c>
      <c r="G147">
        <f t="shared" si="5"/>
        <v>69301.013068341766</v>
      </c>
    </row>
    <row r="148" spans="1:7" x14ac:dyDescent="0.2">
      <c r="A148" t="s">
        <v>51</v>
      </c>
      <c r="B148">
        <v>1</v>
      </c>
      <c r="C148">
        <f t="shared" si="4"/>
        <v>87735.185185185197</v>
      </c>
      <c r="F148">
        <f>SUMIF($L$6:$L$30,"="&amp;$A148,$M$6:$M$30)*11.8/16.2</f>
        <v>87735185.185185194</v>
      </c>
      <c r="G148">
        <f t="shared" si="5"/>
        <v>87735.185185185197</v>
      </c>
    </row>
    <row r="149" spans="1:7" x14ac:dyDescent="0.2">
      <c r="A149" t="s">
        <v>51</v>
      </c>
      <c r="B149">
        <v>2</v>
      </c>
      <c r="C149">
        <f t="shared" si="4"/>
        <v>87735.185185185197</v>
      </c>
      <c r="F149">
        <f>F148*$I$6</f>
        <v>87735185.185185194</v>
      </c>
      <c r="G149">
        <f t="shared" si="5"/>
        <v>87735.185185185197</v>
      </c>
    </row>
    <row r="150" spans="1:7" x14ac:dyDescent="0.2">
      <c r="A150" t="s">
        <v>51</v>
      </c>
      <c r="B150">
        <v>3</v>
      </c>
      <c r="C150">
        <f t="shared" si="4"/>
        <v>79556.481481481474</v>
      </c>
      <c r="F150">
        <f>F149*$I$7</f>
        <v>79556481.481481478</v>
      </c>
      <c r="G150">
        <f t="shared" si="5"/>
        <v>79556.481481481474</v>
      </c>
    </row>
    <row r="151" spans="1:7" x14ac:dyDescent="0.2">
      <c r="A151" t="s">
        <v>51</v>
      </c>
      <c r="B151">
        <v>4</v>
      </c>
      <c r="C151">
        <f t="shared" si="4"/>
        <v>72140.19930947895</v>
      </c>
      <c r="F151">
        <f>F150*$I$8</f>
        <v>72140199.309478953</v>
      </c>
      <c r="G151">
        <f t="shared" si="5"/>
        <v>72140.19930947895</v>
      </c>
    </row>
    <row r="152" spans="1:7" x14ac:dyDescent="0.2">
      <c r="A152" t="s">
        <v>51</v>
      </c>
      <c r="B152">
        <v>5</v>
      </c>
      <c r="C152">
        <f t="shared" si="4"/>
        <v>65415.265475544467</v>
      </c>
      <c r="F152">
        <f>F151*$I$9</f>
        <v>65415265.475544468</v>
      </c>
      <c r="G152">
        <f t="shared" si="5"/>
        <v>65415.265475544467</v>
      </c>
    </row>
    <row r="153" spans="1:7" x14ac:dyDescent="0.2">
      <c r="A153" t="s">
        <v>51</v>
      </c>
      <c r="B153">
        <v>6</v>
      </c>
      <c r="C153">
        <f t="shared" si="4"/>
        <v>59317.232253247945</v>
      </c>
      <c r="F153">
        <f>F152*$I$10</f>
        <v>59317232.253247947</v>
      </c>
      <c r="G153">
        <f t="shared" si="5"/>
        <v>59317.232253247945</v>
      </c>
    </row>
    <row r="154" spans="1:7" x14ac:dyDescent="0.2">
      <c r="A154" t="s">
        <v>51</v>
      </c>
      <c r="B154">
        <v>7</v>
      </c>
      <c r="C154">
        <f t="shared" si="4"/>
        <v>48784.265778372144</v>
      </c>
      <c r="F154">
        <f>F153*$I$11</f>
        <v>48784265.778372146</v>
      </c>
      <c r="G154">
        <f t="shared" si="5"/>
        <v>48784.265778372144</v>
      </c>
    </row>
    <row r="155" spans="1:7" x14ac:dyDescent="0.2">
      <c r="A155" t="s">
        <v>51</v>
      </c>
      <c r="B155">
        <v>8</v>
      </c>
      <c r="C155">
        <f t="shared" si="4"/>
        <v>40121.639144829431</v>
      </c>
      <c r="F155">
        <f>F154*$I$12</f>
        <v>40121639.14482943</v>
      </c>
      <c r="G155">
        <f t="shared" si="5"/>
        <v>40121.639144829431</v>
      </c>
    </row>
    <row r="156" spans="1:7" x14ac:dyDescent="0.2">
      <c r="A156" t="s">
        <v>52</v>
      </c>
      <c r="B156">
        <v>1</v>
      </c>
      <c r="C156">
        <f t="shared" si="4"/>
        <v>39347.9012345679</v>
      </c>
      <c r="F156">
        <f>SUMIF($L$6:$L$30,"="&amp;$A156,$M$6:$M$30)*11.8/16.2</f>
        <v>39347901.234567903</v>
      </c>
      <c r="G156">
        <f t="shared" si="5"/>
        <v>39347.9012345679</v>
      </c>
    </row>
    <row r="157" spans="1:7" x14ac:dyDescent="0.2">
      <c r="A157" t="s">
        <v>52</v>
      </c>
      <c r="B157">
        <v>2</v>
      </c>
      <c r="C157">
        <f t="shared" si="4"/>
        <v>39347.9012345679</v>
      </c>
      <c r="F157">
        <f>F156*$I$6</f>
        <v>39347901.234567903</v>
      </c>
      <c r="G157">
        <f t="shared" si="5"/>
        <v>39347.9012345679</v>
      </c>
    </row>
    <row r="158" spans="1:7" x14ac:dyDescent="0.2">
      <c r="A158" t="s">
        <v>52</v>
      </c>
      <c r="B158">
        <v>3</v>
      </c>
      <c r="C158">
        <f t="shared" si="4"/>
        <v>35679.876543209873</v>
      </c>
      <c r="F158">
        <f>F157*$I$7</f>
        <v>35679876.543209873</v>
      </c>
      <c r="G158">
        <f t="shared" si="5"/>
        <v>35679.876543209873</v>
      </c>
    </row>
    <row r="159" spans="1:7" x14ac:dyDescent="0.2">
      <c r="A159" t="s">
        <v>52</v>
      </c>
      <c r="B159">
        <v>4</v>
      </c>
      <c r="C159">
        <f t="shared" si="4"/>
        <v>32353.786356978442</v>
      </c>
      <c r="F159">
        <f>F158*$I$8</f>
        <v>32353786.356978443</v>
      </c>
      <c r="G159">
        <f t="shared" si="5"/>
        <v>32353.786356978442</v>
      </c>
    </row>
    <row r="160" spans="1:7" x14ac:dyDescent="0.2">
      <c r="A160" t="s">
        <v>52</v>
      </c>
      <c r="B160">
        <v>5</v>
      </c>
      <c r="C160">
        <f t="shared" si="4"/>
        <v>29337.755425395706</v>
      </c>
      <c r="F160">
        <f>F159*$I$9</f>
        <v>29337755.425395705</v>
      </c>
      <c r="G160">
        <f t="shared" si="5"/>
        <v>29337.755425395706</v>
      </c>
    </row>
    <row r="161" spans="1:7" x14ac:dyDescent="0.2">
      <c r="A161" t="s">
        <v>52</v>
      </c>
      <c r="B161">
        <v>6</v>
      </c>
      <c r="C161">
        <f t="shared" si="4"/>
        <v>26602.879919638479</v>
      </c>
      <c r="F161">
        <f>F160*$I$10</f>
        <v>26602879.919638477</v>
      </c>
      <c r="G161">
        <f t="shared" si="5"/>
        <v>26602.879919638479</v>
      </c>
    </row>
    <row r="162" spans="1:7" x14ac:dyDescent="0.2">
      <c r="A162" t="s">
        <v>52</v>
      </c>
      <c r="B162">
        <v>7</v>
      </c>
      <c r="C162">
        <f t="shared" si="4"/>
        <v>21879.004046057817</v>
      </c>
      <c r="F162">
        <f>F161*$I$11</f>
        <v>21879004.046057817</v>
      </c>
      <c r="G162">
        <f t="shared" si="5"/>
        <v>21879.004046057817</v>
      </c>
    </row>
    <row r="163" spans="1:7" x14ac:dyDescent="0.2">
      <c r="A163" t="s">
        <v>52</v>
      </c>
      <c r="B163">
        <v>8</v>
      </c>
      <c r="C163">
        <f t="shared" si="4"/>
        <v>17993.9472528326</v>
      </c>
      <c r="F163">
        <f>F162*$I$12</f>
        <v>17993947.252832599</v>
      </c>
      <c r="G163">
        <f t="shared" si="5"/>
        <v>17993.9472528326</v>
      </c>
    </row>
    <row r="164" spans="1:7" x14ac:dyDescent="0.2">
      <c r="A164" t="s">
        <v>19</v>
      </c>
      <c r="B164">
        <v>1</v>
      </c>
      <c r="C164">
        <f t="shared" si="4"/>
        <v>32967.160493827163</v>
      </c>
      <c r="F164">
        <f>SUMIF($L$6:$L$30,"="&amp;$A164,$M$6:$M$30)*11.8/16.2</f>
        <v>32967160.493827164</v>
      </c>
      <c r="G164">
        <f t="shared" si="5"/>
        <v>32967.160493827163</v>
      </c>
    </row>
    <row r="165" spans="1:7" x14ac:dyDescent="0.2">
      <c r="A165" t="s">
        <v>19</v>
      </c>
      <c r="B165">
        <v>2</v>
      </c>
      <c r="C165">
        <f t="shared" si="4"/>
        <v>32967.160493827163</v>
      </c>
      <c r="F165">
        <f>F164*$I$6</f>
        <v>32967160.493827164</v>
      </c>
      <c r="G165">
        <f t="shared" si="5"/>
        <v>32967.160493827163</v>
      </c>
    </row>
    <row r="166" spans="1:7" x14ac:dyDescent="0.2">
      <c r="A166" t="s">
        <v>19</v>
      </c>
      <c r="B166">
        <v>3</v>
      </c>
      <c r="C166">
        <f t="shared" si="4"/>
        <v>29893.95061728395</v>
      </c>
      <c r="F166">
        <f>F165*$I$7</f>
        <v>29893950.617283951</v>
      </c>
      <c r="G166">
        <f t="shared" si="5"/>
        <v>29893.95061728395</v>
      </c>
    </row>
    <row r="167" spans="1:7" x14ac:dyDescent="0.2">
      <c r="A167" t="s">
        <v>19</v>
      </c>
      <c r="B167">
        <v>4</v>
      </c>
      <c r="C167">
        <f t="shared" si="4"/>
        <v>27107.226407198155</v>
      </c>
      <c r="F167">
        <f>F166*$I$8</f>
        <v>27107226.407198157</v>
      </c>
      <c r="G167">
        <f t="shared" si="5"/>
        <v>27107.226407198155</v>
      </c>
    </row>
    <row r="168" spans="1:7" x14ac:dyDescent="0.2">
      <c r="A168" t="s">
        <v>19</v>
      </c>
      <c r="B168">
        <v>5</v>
      </c>
      <c r="C168">
        <f t="shared" si="4"/>
        <v>24580.281572628832</v>
      </c>
      <c r="F168">
        <f>F167*$I$9</f>
        <v>24580281.572628833</v>
      </c>
      <c r="G168">
        <f t="shared" si="5"/>
        <v>24580.281572628832</v>
      </c>
    </row>
    <row r="169" spans="1:7" x14ac:dyDescent="0.2">
      <c r="A169" t="s">
        <v>19</v>
      </c>
      <c r="B169">
        <v>6</v>
      </c>
      <c r="C169">
        <f t="shared" si="4"/>
        <v>22288.899392129533</v>
      </c>
      <c r="F169">
        <f>F168*$I$10</f>
        <v>22288899.392129533</v>
      </c>
      <c r="G169">
        <f t="shared" si="5"/>
        <v>22288.899392129533</v>
      </c>
    </row>
    <row r="170" spans="1:7" x14ac:dyDescent="0.2">
      <c r="A170" t="s">
        <v>19</v>
      </c>
      <c r="B170">
        <v>7</v>
      </c>
      <c r="C170">
        <f t="shared" si="4"/>
        <v>18331.057443994385</v>
      </c>
      <c r="F170">
        <f>F169*$I$11</f>
        <v>18331057.443994384</v>
      </c>
      <c r="G170">
        <f t="shared" si="5"/>
        <v>18331.057443994385</v>
      </c>
    </row>
    <row r="171" spans="1:7" x14ac:dyDescent="0.2">
      <c r="A171" t="s">
        <v>19</v>
      </c>
      <c r="B171">
        <v>8</v>
      </c>
      <c r="C171">
        <f t="shared" si="4"/>
        <v>15076.009860481365</v>
      </c>
      <c r="F171">
        <f>F170*$I$12</f>
        <v>15076009.860481365</v>
      </c>
      <c r="G171">
        <f t="shared" si="5"/>
        <v>15076.009860481365</v>
      </c>
    </row>
    <row r="172" spans="1:7" x14ac:dyDescent="0.2">
      <c r="A172" t="s">
        <v>11</v>
      </c>
      <c r="B172">
        <v>1</v>
      </c>
      <c r="C172">
        <f t="shared" si="4"/>
        <v>406240.49382716056</v>
      </c>
      <c r="F172">
        <f>SUMIF($L$6:$L$30,"="&amp;$A172,$M$6:$M$30)*11.8/16.2</f>
        <v>406240493.82716054</v>
      </c>
      <c r="G172">
        <f t="shared" si="5"/>
        <v>406240.49382716056</v>
      </c>
    </row>
    <row r="173" spans="1:7" x14ac:dyDescent="0.2">
      <c r="A173" t="s">
        <v>11</v>
      </c>
      <c r="B173">
        <v>2</v>
      </c>
      <c r="C173">
        <f t="shared" si="4"/>
        <v>406240.49382716056</v>
      </c>
      <c r="F173">
        <f>F172*$I$6</f>
        <v>406240493.82716054</v>
      </c>
      <c r="G173">
        <f t="shared" si="5"/>
        <v>406240.49382716056</v>
      </c>
    </row>
    <row r="174" spans="1:7" x14ac:dyDescent="0.2">
      <c r="A174" t="s">
        <v>11</v>
      </c>
      <c r="B174">
        <v>3</v>
      </c>
      <c r="C174">
        <f t="shared" si="4"/>
        <v>368370.61728395062</v>
      </c>
      <c r="F174">
        <f>F173*$I$7</f>
        <v>368370617.28395063</v>
      </c>
      <c r="G174">
        <f t="shared" si="5"/>
        <v>368370.61728395062</v>
      </c>
    </row>
    <row r="175" spans="1:7" x14ac:dyDescent="0.2">
      <c r="A175" t="s">
        <v>11</v>
      </c>
      <c r="B175">
        <v>4</v>
      </c>
      <c r="C175">
        <f t="shared" si="4"/>
        <v>334030.98346934502</v>
      </c>
      <c r="F175">
        <f>F174*$I$8</f>
        <v>334030983.46934503</v>
      </c>
      <c r="G175">
        <f t="shared" si="5"/>
        <v>334030.98346934502</v>
      </c>
    </row>
    <row r="176" spans="1:7" x14ac:dyDescent="0.2">
      <c r="A176" t="s">
        <v>11</v>
      </c>
      <c r="B176">
        <v>5</v>
      </c>
      <c r="C176">
        <f t="shared" si="4"/>
        <v>302892.50195949082</v>
      </c>
      <c r="F176">
        <f>F175*$I$9</f>
        <v>302892501.95949084</v>
      </c>
      <c r="G176">
        <f t="shared" si="5"/>
        <v>302892.50195949082</v>
      </c>
    </row>
    <row r="177" spans="1:7" x14ac:dyDescent="0.2">
      <c r="A177" t="s">
        <v>11</v>
      </c>
      <c r="B177">
        <v>6</v>
      </c>
      <c r="C177">
        <f t="shared" si="4"/>
        <v>274656.76025140268</v>
      </c>
      <c r="F177">
        <f>F176*$I$10</f>
        <v>274656760.25140268</v>
      </c>
      <c r="G177">
        <f t="shared" si="5"/>
        <v>274656.76025140268</v>
      </c>
    </row>
    <row r="178" spans="1:7" x14ac:dyDescent="0.2">
      <c r="A178" t="s">
        <v>11</v>
      </c>
      <c r="B178">
        <v>7</v>
      </c>
      <c r="C178">
        <f t="shared" si="4"/>
        <v>225885.93366470505</v>
      </c>
      <c r="F178">
        <f>F177*$I$11</f>
        <v>225885933.66470504</v>
      </c>
      <c r="G178">
        <f t="shared" si="5"/>
        <v>225885.93366470505</v>
      </c>
    </row>
    <row r="179" spans="1:7" x14ac:dyDescent="0.2">
      <c r="A179" t="s">
        <v>11</v>
      </c>
      <c r="B179">
        <v>8</v>
      </c>
      <c r="C179">
        <f t="shared" si="4"/>
        <v>185775.34731302847</v>
      </c>
      <c r="F179">
        <f>F178*$I$12</f>
        <v>185775347.31302845</v>
      </c>
      <c r="G179">
        <f t="shared" si="5"/>
        <v>185775.34731302847</v>
      </c>
    </row>
    <row r="180" spans="1:7" x14ac:dyDescent="0.2">
      <c r="A180" t="s">
        <v>16</v>
      </c>
      <c r="B180">
        <v>1</v>
      </c>
      <c r="C180">
        <f t="shared" si="4"/>
        <v>124424.44444444447</v>
      </c>
      <c r="F180">
        <f>SUMIF($L$6:$L$30,"="&amp;$A180,$M$6:$M$30)*11.8/16.2</f>
        <v>124424444.44444446</v>
      </c>
      <c r="G180">
        <f t="shared" si="5"/>
        <v>124424.44444444447</v>
      </c>
    </row>
    <row r="181" spans="1:7" x14ac:dyDescent="0.2">
      <c r="A181" t="s">
        <v>16</v>
      </c>
      <c r="B181">
        <v>2</v>
      </c>
      <c r="C181">
        <f t="shared" si="4"/>
        <v>124424.44444444447</v>
      </c>
      <c r="F181">
        <f>F180*$I$6</f>
        <v>124424444.44444446</v>
      </c>
      <c r="G181">
        <f t="shared" si="5"/>
        <v>124424.44444444447</v>
      </c>
    </row>
    <row r="182" spans="1:7" x14ac:dyDescent="0.2">
      <c r="A182" t="s">
        <v>16</v>
      </c>
      <c r="B182">
        <v>3</v>
      </c>
      <c r="C182">
        <f t="shared" si="4"/>
        <v>112825.55555555556</v>
      </c>
      <c r="F182">
        <f>F181*$I$7</f>
        <v>112825555.55555557</v>
      </c>
      <c r="G182">
        <f t="shared" si="5"/>
        <v>112825.55555555556</v>
      </c>
    </row>
    <row r="183" spans="1:7" x14ac:dyDescent="0.2">
      <c r="A183" t="s">
        <v>16</v>
      </c>
      <c r="B183">
        <v>4</v>
      </c>
      <c r="C183">
        <f t="shared" si="4"/>
        <v>102307.91902071564</v>
      </c>
      <c r="F183">
        <f>F182*$I$8</f>
        <v>102307919.02071564</v>
      </c>
      <c r="G183">
        <f t="shared" si="5"/>
        <v>102307.91902071564</v>
      </c>
    </row>
    <row r="184" spans="1:7" x14ac:dyDescent="0.2">
      <c r="A184" t="s">
        <v>16</v>
      </c>
      <c r="B184">
        <v>5</v>
      </c>
      <c r="C184">
        <f t="shared" si="4"/>
        <v>92770.740128954014</v>
      </c>
      <c r="F184">
        <f>F183*$I$9</f>
        <v>92770740.128954008</v>
      </c>
      <c r="G184">
        <f t="shared" si="5"/>
        <v>92770.740128954014</v>
      </c>
    </row>
    <row r="185" spans="1:7" x14ac:dyDescent="0.2">
      <c r="A185" t="s">
        <v>16</v>
      </c>
      <c r="B185">
        <v>6</v>
      </c>
      <c r="C185">
        <f t="shared" si="4"/>
        <v>84122.620286424382</v>
      </c>
      <c r="F185">
        <f>F184*$I$10</f>
        <v>84122620.286424384</v>
      </c>
      <c r="G185">
        <f t="shared" si="5"/>
        <v>84122.620286424382</v>
      </c>
    </row>
    <row r="186" spans="1:7" x14ac:dyDescent="0.2">
      <c r="A186" t="s">
        <v>16</v>
      </c>
      <c r="B186">
        <v>7</v>
      </c>
      <c r="C186">
        <f t="shared" si="4"/>
        <v>69184.958740236878</v>
      </c>
      <c r="F186">
        <f>F185*$I$11</f>
        <v>69184958.740236878</v>
      </c>
      <c r="G186">
        <f t="shared" si="5"/>
        <v>69184.958740236878</v>
      </c>
    </row>
    <row r="187" spans="1:7" x14ac:dyDescent="0.2">
      <c r="A187" t="s">
        <v>16</v>
      </c>
      <c r="B187">
        <v>8</v>
      </c>
      <c r="C187">
        <f t="shared" si="4"/>
        <v>56899.779150849026</v>
      </c>
      <c r="F187">
        <f>F186*$I$12</f>
        <v>56899779.150849029</v>
      </c>
      <c r="G187">
        <f t="shared" si="5"/>
        <v>56899.779150849026</v>
      </c>
    </row>
    <row r="188" spans="1:7" x14ac:dyDescent="0.2">
      <c r="A188" t="s">
        <v>53</v>
      </c>
      <c r="B188">
        <v>1</v>
      </c>
      <c r="C188">
        <f t="shared" si="4"/>
        <v>18078.765432098764</v>
      </c>
      <c r="F188">
        <f>SUMIF($L$6:$L$30,"="&amp;$A188,$M$6:$M$30)*11.8/16.2</f>
        <v>18078765.432098765</v>
      </c>
      <c r="G188">
        <f t="shared" si="5"/>
        <v>18078.765432098764</v>
      </c>
    </row>
    <row r="189" spans="1:7" x14ac:dyDescent="0.2">
      <c r="A189" t="s">
        <v>53</v>
      </c>
      <c r="B189">
        <v>2</v>
      </c>
      <c r="C189">
        <f t="shared" si="4"/>
        <v>18078.765432098764</v>
      </c>
      <c r="F189">
        <f>F188*$I$6</f>
        <v>18078765.432098765</v>
      </c>
      <c r="G189">
        <f t="shared" si="5"/>
        <v>18078.765432098764</v>
      </c>
    </row>
    <row r="190" spans="1:7" x14ac:dyDescent="0.2">
      <c r="A190" t="s">
        <v>53</v>
      </c>
      <c r="B190">
        <v>3</v>
      </c>
      <c r="C190">
        <f t="shared" si="4"/>
        <v>16393.456790123455</v>
      </c>
      <c r="F190">
        <f>F189*$I$7</f>
        <v>16393456.790123455</v>
      </c>
      <c r="G190">
        <f t="shared" si="5"/>
        <v>16393.456790123455</v>
      </c>
    </row>
    <row r="191" spans="1:7" x14ac:dyDescent="0.2">
      <c r="A191" t="s">
        <v>53</v>
      </c>
      <c r="B191">
        <v>4</v>
      </c>
      <c r="C191">
        <f t="shared" si="4"/>
        <v>14865.253191044148</v>
      </c>
      <c r="F191">
        <f>F190*$I$8</f>
        <v>14865253.191044148</v>
      </c>
      <c r="G191">
        <f t="shared" si="5"/>
        <v>14865.253191044148</v>
      </c>
    </row>
    <row r="192" spans="1:7" x14ac:dyDescent="0.2">
      <c r="A192" t="s">
        <v>53</v>
      </c>
      <c r="B192">
        <v>5</v>
      </c>
      <c r="C192">
        <f t="shared" si="4"/>
        <v>13479.509249506133</v>
      </c>
      <c r="F192">
        <f>F191*$I$9</f>
        <v>13479509.249506133</v>
      </c>
      <c r="G192">
        <f t="shared" si="5"/>
        <v>13479.509249506133</v>
      </c>
    </row>
    <row r="193" spans="1:7" x14ac:dyDescent="0.2">
      <c r="A193" t="s">
        <v>53</v>
      </c>
      <c r="B193">
        <v>6</v>
      </c>
      <c r="C193">
        <f t="shared" si="4"/>
        <v>12222.944827942001</v>
      </c>
      <c r="F193">
        <f>F192*$I$10</f>
        <v>12222944.827942001</v>
      </c>
      <c r="G193">
        <f t="shared" si="5"/>
        <v>12222.944827942001</v>
      </c>
    </row>
    <row r="194" spans="1:7" x14ac:dyDescent="0.2">
      <c r="A194" t="s">
        <v>53</v>
      </c>
      <c r="B194">
        <v>7</v>
      </c>
      <c r="C194">
        <f t="shared" si="4"/>
        <v>10052.515372513048</v>
      </c>
      <c r="F194">
        <f>F193*$I$11</f>
        <v>10052515.372513048</v>
      </c>
      <c r="G194">
        <f t="shared" si="5"/>
        <v>10052.515372513048</v>
      </c>
    </row>
    <row r="195" spans="1:7" x14ac:dyDescent="0.2">
      <c r="A195" t="s">
        <v>53</v>
      </c>
      <c r="B195">
        <v>8</v>
      </c>
      <c r="C195">
        <f t="shared" si="4"/>
        <v>8267.4892783284904</v>
      </c>
      <c r="F195">
        <f>F194*$I$12</f>
        <v>8267489.2783284895</v>
      </c>
      <c r="G195">
        <f t="shared" si="5"/>
        <v>8267.4892783284904</v>
      </c>
    </row>
    <row r="196" spans="1:7" x14ac:dyDescent="0.2">
      <c r="A196" t="s">
        <v>18</v>
      </c>
      <c r="B196">
        <v>1</v>
      </c>
      <c r="C196">
        <f t="shared" ref="C196:C203" si="6">G196</f>
        <v>332064.38271604938</v>
      </c>
      <c r="F196">
        <f>SUMIF($L$6:$L$30,"="&amp;$A196,$M$6:$M$30)*11.8/16.2</f>
        <v>332064382.71604937</v>
      </c>
      <c r="G196">
        <f t="shared" si="5"/>
        <v>332064.38271604938</v>
      </c>
    </row>
    <row r="197" spans="1:7" x14ac:dyDescent="0.2">
      <c r="A197" t="s">
        <v>18</v>
      </c>
      <c r="B197">
        <v>2</v>
      </c>
      <c r="C197">
        <f t="shared" si="6"/>
        <v>332064.38271604938</v>
      </c>
      <c r="F197">
        <f>F196*$I$6</f>
        <v>332064382.71604937</v>
      </c>
      <c r="G197">
        <f t="shared" ref="G197:G203" si="7">F197/10^3</f>
        <v>332064.38271604938</v>
      </c>
    </row>
    <row r="198" spans="1:7" x14ac:dyDescent="0.2">
      <c r="A198" t="s">
        <v>18</v>
      </c>
      <c r="B198">
        <v>3</v>
      </c>
      <c r="C198">
        <f t="shared" si="6"/>
        <v>301109.22839506168</v>
      </c>
      <c r="F198">
        <f>F197*$I$7</f>
        <v>301109228.39506167</v>
      </c>
      <c r="G198">
        <f t="shared" si="7"/>
        <v>301109.22839506168</v>
      </c>
    </row>
    <row r="199" spans="1:7" x14ac:dyDescent="0.2">
      <c r="A199" t="s">
        <v>18</v>
      </c>
      <c r="B199">
        <v>4</v>
      </c>
      <c r="C199">
        <f t="shared" si="6"/>
        <v>273039.72405314911</v>
      </c>
      <c r="F199">
        <f>F198*$I$8</f>
        <v>273039724.0531491</v>
      </c>
      <c r="G199">
        <f t="shared" si="7"/>
        <v>273039.72405314911</v>
      </c>
    </row>
    <row r="200" spans="1:7" x14ac:dyDescent="0.2">
      <c r="A200" t="s">
        <v>18</v>
      </c>
      <c r="B200">
        <v>5</v>
      </c>
      <c r="C200">
        <f t="shared" si="6"/>
        <v>247586.86842107584</v>
      </c>
      <c r="F200">
        <f>F199*$I$9</f>
        <v>247586868.42107585</v>
      </c>
      <c r="G200">
        <f t="shared" si="7"/>
        <v>247586.86842107584</v>
      </c>
    </row>
    <row r="201" spans="1:7" x14ac:dyDescent="0.2">
      <c r="A201" t="s">
        <v>18</v>
      </c>
      <c r="B201">
        <v>6</v>
      </c>
      <c r="C201">
        <f t="shared" si="6"/>
        <v>224506.73661911112</v>
      </c>
      <c r="F201">
        <f>F200*$I$10</f>
        <v>224506736.61911112</v>
      </c>
      <c r="G201">
        <f t="shared" si="7"/>
        <v>224506.73661911112</v>
      </c>
    </row>
    <row r="202" spans="1:7" x14ac:dyDescent="0.2">
      <c r="A202" t="s">
        <v>18</v>
      </c>
      <c r="B202">
        <v>7</v>
      </c>
      <c r="C202">
        <f t="shared" si="6"/>
        <v>184641.05441571758</v>
      </c>
      <c r="F202">
        <f>F201*$I$11</f>
        <v>184641054.41571757</v>
      </c>
      <c r="G202">
        <f t="shared" si="7"/>
        <v>184641.05441571758</v>
      </c>
    </row>
    <row r="203" spans="1:7" x14ac:dyDescent="0.2">
      <c r="A203" t="s">
        <v>18</v>
      </c>
      <c r="B203">
        <v>8</v>
      </c>
      <c r="C203">
        <f t="shared" si="6"/>
        <v>151854.3251269453</v>
      </c>
      <c r="F203">
        <f>F202*$I$12</f>
        <v>151854325.12694532</v>
      </c>
      <c r="G203">
        <f t="shared" si="7"/>
        <v>151854.3251269453</v>
      </c>
    </row>
  </sheetData>
  <autoFilter ref="A3:C203" xr:uid="{0F6EAB39-16DF-8C42-894F-2A13FE3A2F33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6D24-2B8D-FD4D-8AF7-18DD7EE4E416}">
  <dimension ref="A1:N51"/>
  <sheetViews>
    <sheetView topLeftCell="A15" workbookViewId="0">
      <selection activeCell="C44" sqref="C44:C51"/>
    </sheetView>
  </sheetViews>
  <sheetFormatPr baseColWidth="10" defaultRowHeight="16" x14ac:dyDescent="0.2"/>
  <sheetData>
    <row r="1" spans="1:7" x14ac:dyDescent="0.2">
      <c r="A1" t="s">
        <v>102</v>
      </c>
    </row>
    <row r="2" spans="1:7" x14ac:dyDescent="0.2">
      <c r="A2" t="s">
        <v>104</v>
      </c>
    </row>
    <row r="3" spans="1:7" x14ac:dyDescent="0.2">
      <c r="A3" t="s">
        <v>98</v>
      </c>
      <c r="B3" t="s">
        <v>2</v>
      </c>
      <c r="C3" t="s">
        <v>103</v>
      </c>
      <c r="G3" t="s">
        <v>139</v>
      </c>
    </row>
    <row r="4" spans="1:7" x14ac:dyDescent="0.2">
      <c r="A4" t="s">
        <v>1</v>
      </c>
      <c r="B4">
        <v>1</v>
      </c>
      <c r="C4">
        <f>G4*8760</f>
        <v>1489200</v>
      </c>
      <c r="G4">
        <v>170</v>
      </c>
    </row>
    <row r="5" spans="1:7" x14ac:dyDescent="0.2">
      <c r="A5" t="s">
        <v>1</v>
      </c>
      <c r="B5">
        <v>2</v>
      </c>
      <c r="C5">
        <f t="shared" ref="C5:C43" si="0">G5*8760</f>
        <v>1489200</v>
      </c>
      <c r="G5">
        <v>170</v>
      </c>
    </row>
    <row r="6" spans="1:7" x14ac:dyDescent="0.2">
      <c r="A6" t="s">
        <v>1</v>
      </c>
      <c r="B6">
        <v>3</v>
      </c>
      <c r="C6">
        <f t="shared" si="0"/>
        <v>1489200</v>
      </c>
      <c r="G6">
        <v>170</v>
      </c>
    </row>
    <row r="7" spans="1:7" x14ac:dyDescent="0.2">
      <c r="A7" t="s">
        <v>1</v>
      </c>
      <c r="B7">
        <v>4</v>
      </c>
      <c r="C7">
        <f t="shared" si="0"/>
        <v>1489200</v>
      </c>
      <c r="G7">
        <v>170</v>
      </c>
    </row>
    <row r="8" spans="1:7" x14ac:dyDescent="0.2">
      <c r="A8" t="s">
        <v>1</v>
      </c>
      <c r="B8">
        <v>5</v>
      </c>
      <c r="C8">
        <f t="shared" si="0"/>
        <v>1489200</v>
      </c>
      <c r="G8">
        <v>170</v>
      </c>
    </row>
    <row r="9" spans="1:7" x14ac:dyDescent="0.2">
      <c r="A9" t="s">
        <v>1</v>
      </c>
      <c r="B9">
        <v>6</v>
      </c>
      <c r="C9">
        <f t="shared" si="0"/>
        <v>1489200</v>
      </c>
      <c r="G9">
        <v>170</v>
      </c>
    </row>
    <row r="10" spans="1:7" x14ac:dyDescent="0.2">
      <c r="A10" t="s">
        <v>1</v>
      </c>
      <c r="B10">
        <v>7</v>
      </c>
      <c r="C10">
        <f t="shared" si="0"/>
        <v>1489200</v>
      </c>
      <c r="G10">
        <v>170</v>
      </c>
    </row>
    <row r="11" spans="1:7" x14ac:dyDescent="0.2">
      <c r="A11" t="s">
        <v>1</v>
      </c>
      <c r="B11">
        <v>8</v>
      </c>
      <c r="C11">
        <f t="shared" si="0"/>
        <v>1489200</v>
      </c>
      <c r="G11">
        <v>170</v>
      </c>
    </row>
    <row r="12" spans="1:7" x14ac:dyDescent="0.2">
      <c r="A12" t="s">
        <v>95</v>
      </c>
      <c r="B12">
        <v>1</v>
      </c>
      <c r="C12">
        <f t="shared" si="0"/>
        <v>1489200</v>
      </c>
      <c r="G12">
        <v>170</v>
      </c>
    </row>
    <row r="13" spans="1:7" x14ac:dyDescent="0.2">
      <c r="A13" t="s">
        <v>95</v>
      </c>
      <c r="B13">
        <v>2</v>
      </c>
      <c r="C13">
        <f t="shared" si="0"/>
        <v>1489200</v>
      </c>
      <c r="G13">
        <v>170</v>
      </c>
    </row>
    <row r="14" spans="1:7" x14ac:dyDescent="0.2">
      <c r="A14" t="s">
        <v>95</v>
      </c>
      <c r="B14">
        <v>3</v>
      </c>
      <c r="C14">
        <f t="shared" si="0"/>
        <v>1489200</v>
      </c>
      <c r="G14">
        <v>170</v>
      </c>
    </row>
    <row r="15" spans="1:7" x14ac:dyDescent="0.2">
      <c r="A15" t="s">
        <v>95</v>
      </c>
      <c r="B15">
        <v>4</v>
      </c>
      <c r="C15">
        <f t="shared" si="0"/>
        <v>1489200</v>
      </c>
      <c r="G15">
        <v>170</v>
      </c>
    </row>
    <row r="16" spans="1:7" x14ac:dyDescent="0.2">
      <c r="A16" t="s">
        <v>95</v>
      </c>
      <c r="B16">
        <v>5</v>
      </c>
      <c r="C16">
        <f t="shared" si="0"/>
        <v>1489200</v>
      </c>
      <c r="G16">
        <v>170</v>
      </c>
    </row>
    <row r="17" spans="1:7" x14ac:dyDescent="0.2">
      <c r="A17" t="s">
        <v>95</v>
      </c>
      <c r="B17">
        <v>6</v>
      </c>
      <c r="C17">
        <f t="shared" si="0"/>
        <v>1489200</v>
      </c>
      <c r="G17">
        <v>170</v>
      </c>
    </row>
    <row r="18" spans="1:7" x14ac:dyDescent="0.2">
      <c r="A18" t="s">
        <v>95</v>
      </c>
      <c r="B18">
        <v>7</v>
      </c>
      <c r="C18">
        <f t="shared" si="0"/>
        <v>1489200</v>
      </c>
      <c r="G18">
        <v>170</v>
      </c>
    </row>
    <row r="19" spans="1:7" x14ac:dyDescent="0.2">
      <c r="A19" t="s">
        <v>95</v>
      </c>
      <c r="B19">
        <v>8</v>
      </c>
      <c r="C19">
        <f t="shared" si="0"/>
        <v>1489200</v>
      </c>
      <c r="G19">
        <v>170</v>
      </c>
    </row>
    <row r="20" spans="1:7" x14ac:dyDescent="0.2">
      <c r="A20" t="s">
        <v>134</v>
      </c>
      <c r="B20">
        <v>1</v>
      </c>
      <c r="C20">
        <f t="shared" si="0"/>
        <v>2014800</v>
      </c>
      <c r="G20">
        <v>230</v>
      </c>
    </row>
    <row r="21" spans="1:7" x14ac:dyDescent="0.2">
      <c r="A21" t="s">
        <v>134</v>
      </c>
      <c r="B21">
        <v>2</v>
      </c>
      <c r="C21">
        <f t="shared" si="0"/>
        <v>2014800</v>
      </c>
      <c r="G21">
        <v>230</v>
      </c>
    </row>
    <row r="22" spans="1:7" x14ac:dyDescent="0.2">
      <c r="A22" t="s">
        <v>134</v>
      </c>
      <c r="B22">
        <v>3</v>
      </c>
      <c r="C22">
        <f t="shared" si="0"/>
        <v>2014800</v>
      </c>
      <c r="G22">
        <v>230</v>
      </c>
    </row>
    <row r="23" spans="1:7" x14ac:dyDescent="0.2">
      <c r="A23" t="s">
        <v>134</v>
      </c>
      <c r="B23">
        <v>4</v>
      </c>
      <c r="C23">
        <f t="shared" si="0"/>
        <v>2014800</v>
      </c>
      <c r="G23">
        <v>230</v>
      </c>
    </row>
    <row r="24" spans="1:7" x14ac:dyDescent="0.2">
      <c r="A24" t="s">
        <v>134</v>
      </c>
      <c r="B24">
        <v>5</v>
      </c>
      <c r="C24">
        <f t="shared" si="0"/>
        <v>2014800</v>
      </c>
      <c r="G24">
        <v>230</v>
      </c>
    </row>
    <row r="25" spans="1:7" x14ac:dyDescent="0.2">
      <c r="A25" t="s">
        <v>134</v>
      </c>
      <c r="B25">
        <v>6</v>
      </c>
      <c r="C25">
        <f t="shared" si="0"/>
        <v>2014800</v>
      </c>
      <c r="G25">
        <v>230</v>
      </c>
    </row>
    <row r="26" spans="1:7" x14ac:dyDescent="0.2">
      <c r="A26" t="s">
        <v>134</v>
      </c>
      <c r="B26">
        <v>7</v>
      </c>
      <c r="C26">
        <f t="shared" si="0"/>
        <v>2014800</v>
      </c>
      <c r="G26">
        <v>230</v>
      </c>
    </row>
    <row r="27" spans="1:7" x14ac:dyDescent="0.2">
      <c r="A27" t="s">
        <v>134</v>
      </c>
      <c r="B27">
        <v>8</v>
      </c>
      <c r="C27">
        <f t="shared" si="0"/>
        <v>2014800</v>
      </c>
      <c r="G27">
        <v>230</v>
      </c>
    </row>
    <row r="28" spans="1:7" x14ac:dyDescent="0.2">
      <c r="A28" t="s">
        <v>135</v>
      </c>
      <c r="B28">
        <v>1</v>
      </c>
      <c r="C28">
        <f t="shared" si="0"/>
        <v>1611840</v>
      </c>
      <c r="G28">
        <v>184</v>
      </c>
    </row>
    <row r="29" spans="1:7" x14ac:dyDescent="0.2">
      <c r="A29" t="s">
        <v>135</v>
      </c>
      <c r="B29">
        <v>2</v>
      </c>
      <c r="C29">
        <f t="shared" si="0"/>
        <v>1611840</v>
      </c>
      <c r="G29">
        <v>184</v>
      </c>
    </row>
    <row r="30" spans="1:7" x14ac:dyDescent="0.2">
      <c r="A30" t="s">
        <v>135</v>
      </c>
      <c r="B30">
        <v>3</v>
      </c>
      <c r="C30">
        <f t="shared" si="0"/>
        <v>1611840</v>
      </c>
      <c r="G30">
        <v>184</v>
      </c>
    </row>
    <row r="31" spans="1:7" x14ac:dyDescent="0.2">
      <c r="A31" t="s">
        <v>135</v>
      </c>
      <c r="B31">
        <v>4</v>
      </c>
      <c r="C31">
        <f t="shared" si="0"/>
        <v>1611840</v>
      </c>
      <c r="G31">
        <v>184</v>
      </c>
    </row>
    <row r="32" spans="1:7" x14ac:dyDescent="0.2">
      <c r="A32" t="s">
        <v>135</v>
      </c>
      <c r="B32">
        <v>5</v>
      </c>
      <c r="C32">
        <f t="shared" si="0"/>
        <v>1611840</v>
      </c>
      <c r="G32">
        <v>184</v>
      </c>
    </row>
    <row r="33" spans="1:14" x14ac:dyDescent="0.2">
      <c r="A33" t="s">
        <v>135</v>
      </c>
      <c r="B33">
        <v>6</v>
      </c>
      <c r="C33">
        <f t="shared" si="0"/>
        <v>1611840</v>
      </c>
      <c r="G33">
        <v>184</v>
      </c>
    </row>
    <row r="34" spans="1:14" x14ac:dyDescent="0.2">
      <c r="A34" t="s">
        <v>135</v>
      </c>
      <c r="B34">
        <v>7</v>
      </c>
      <c r="C34">
        <f t="shared" si="0"/>
        <v>1611840</v>
      </c>
      <c r="G34">
        <v>184</v>
      </c>
    </row>
    <row r="35" spans="1:14" x14ac:dyDescent="0.2">
      <c r="A35" t="s">
        <v>135</v>
      </c>
      <c r="B35">
        <v>8</v>
      </c>
      <c r="C35">
        <f t="shared" si="0"/>
        <v>1611840</v>
      </c>
      <c r="G35">
        <v>184</v>
      </c>
    </row>
    <row r="36" spans="1:14" x14ac:dyDescent="0.2">
      <c r="A36" t="s">
        <v>136</v>
      </c>
      <c r="B36">
        <v>1</v>
      </c>
      <c r="C36">
        <f t="shared" si="0"/>
        <v>0</v>
      </c>
      <c r="G36">
        <v>0</v>
      </c>
    </row>
    <row r="37" spans="1:14" x14ac:dyDescent="0.2">
      <c r="A37" t="s">
        <v>136</v>
      </c>
      <c r="B37">
        <v>2</v>
      </c>
      <c r="C37">
        <f t="shared" si="0"/>
        <v>0</v>
      </c>
      <c r="G37">
        <v>0</v>
      </c>
    </row>
    <row r="38" spans="1:14" x14ac:dyDescent="0.2">
      <c r="A38" t="s">
        <v>136</v>
      </c>
      <c r="B38">
        <v>3</v>
      </c>
      <c r="C38">
        <f t="shared" si="0"/>
        <v>0</v>
      </c>
      <c r="G38">
        <v>0</v>
      </c>
    </row>
    <row r="39" spans="1:14" x14ac:dyDescent="0.2">
      <c r="A39" t="s">
        <v>136</v>
      </c>
      <c r="B39">
        <v>4</v>
      </c>
      <c r="C39">
        <f t="shared" si="0"/>
        <v>0</v>
      </c>
      <c r="G39">
        <v>0</v>
      </c>
    </row>
    <row r="40" spans="1:14" x14ac:dyDescent="0.2">
      <c r="A40" t="s">
        <v>136</v>
      </c>
      <c r="B40">
        <v>5</v>
      </c>
      <c r="C40">
        <f t="shared" si="0"/>
        <v>0</v>
      </c>
      <c r="G40">
        <v>0</v>
      </c>
    </row>
    <row r="41" spans="1:14" x14ac:dyDescent="0.2">
      <c r="A41" t="s">
        <v>136</v>
      </c>
      <c r="B41">
        <v>6</v>
      </c>
      <c r="C41">
        <f t="shared" si="0"/>
        <v>0</v>
      </c>
      <c r="G41">
        <v>0</v>
      </c>
    </row>
    <row r="42" spans="1:14" x14ac:dyDescent="0.2">
      <c r="A42" t="s">
        <v>136</v>
      </c>
      <c r="B42">
        <v>7</v>
      </c>
      <c r="C42">
        <f t="shared" si="0"/>
        <v>0</v>
      </c>
      <c r="G42">
        <v>0</v>
      </c>
    </row>
    <row r="43" spans="1:14" x14ac:dyDescent="0.2">
      <c r="A43" t="s">
        <v>136</v>
      </c>
      <c r="B43">
        <v>8</v>
      </c>
      <c r="C43">
        <f t="shared" si="0"/>
        <v>0</v>
      </c>
      <c r="G43">
        <v>0</v>
      </c>
      <c r="I43" t="s">
        <v>158</v>
      </c>
      <c r="J43" t="s">
        <v>159</v>
      </c>
      <c r="L43" t="s">
        <v>160</v>
      </c>
    </row>
    <row r="44" spans="1:14" x14ac:dyDescent="0.2">
      <c r="A44" t="s">
        <v>144</v>
      </c>
      <c r="B44">
        <v>1</v>
      </c>
      <c r="C44">
        <f>J44*8760</f>
        <v>4295582.336306287</v>
      </c>
      <c r="I44">
        <v>442</v>
      </c>
      <c r="J44">
        <f>I44+(503/(4094+503))*I44</f>
        <v>490.36328040026103</v>
      </c>
      <c r="L44">
        <f t="shared" ref="L44:L51" si="1">G4+(503/(4094+503))*G4</f>
        <v>188.60126169240809</v>
      </c>
      <c r="N44" t="s">
        <v>148</v>
      </c>
    </row>
    <row r="45" spans="1:14" x14ac:dyDescent="0.2">
      <c r="A45" t="s">
        <v>144</v>
      </c>
      <c r="B45">
        <v>2</v>
      </c>
      <c r="C45">
        <f t="shared" ref="C45:C51" si="2">J45*8760</f>
        <v>4295582.336306287</v>
      </c>
      <c r="I45">
        <v>442</v>
      </c>
      <c r="J45">
        <f t="shared" ref="J45:J51" si="3">I45+(503/(4094+503))*I45</f>
        <v>490.36328040026103</v>
      </c>
      <c r="L45">
        <f t="shared" si="1"/>
        <v>188.60126169240809</v>
      </c>
    </row>
    <row r="46" spans="1:14" x14ac:dyDescent="0.2">
      <c r="A46" t="s">
        <v>144</v>
      </c>
      <c r="B46">
        <v>3</v>
      </c>
      <c r="C46">
        <f t="shared" si="2"/>
        <v>4295582.336306287</v>
      </c>
      <c r="I46">
        <v>442</v>
      </c>
      <c r="J46">
        <f t="shared" si="3"/>
        <v>490.36328040026103</v>
      </c>
      <c r="L46">
        <f t="shared" si="1"/>
        <v>188.60126169240809</v>
      </c>
    </row>
    <row r="47" spans="1:14" x14ac:dyDescent="0.2">
      <c r="A47" t="s">
        <v>144</v>
      </c>
      <c r="B47">
        <v>4</v>
      </c>
      <c r="C47">
        <f t="shared" si="2"/>
        <v>4295582.336306287</v>
      </c>
      <c r="I47">
        <v>442</v>
      </c>
      <c r="J47">
        <f t="shared" si="3"/>
        <v>490.36328040026103</v>
      </c>
      <c r="L47">
        <f t="shared" si="1"/>
        <v>188.60126169240809</v>
      </c>
    </row>
    <row r="48" spans="1:14" x14ac:dyDescent="0.2">
      <c r="A48" t="s">
        <v>144</v>
      </c>
      <c r="B48">
        <v>5</v>
      </c>
      <c r="C48">
        <f t="shared" si="2"/>
        <v>4295582.336306287</v>
      </c>
      <c r="I48">
        <v>442</v>
      </c>
      <c r="J48">
        <f t="shared" si="3"/>
        <v>490.36328040026103</v>
      </c>
      <c r="L48">
        <f t="shared" si="1"/>
        <v>188.60126169240809</v>
      </c>
    </row>
    <row r="49" spans="1:12" x14ac:dyDescent="0.2">
      <c r="A49" t="s">
        <v>144</v>
      </c>
      <c r="B49">
        <v>6</v>
      </c>
      <c r="C49">
        <f t="shared" si="2"/>
        <v>4295582.336306287</v>
      </c>
      <c r="I49">
        <v>442</v>
      </c>
      <c r="J49">
        <f t="shared" si="3"/>
        <v>490.36328040026103</v>
      </c>
      <c r="L49">
        <f t="shared" si="1"/>
        <v>188.60126169240809</v>
      </c>
    </row>
    <row r="50" spans="1:12" x14ac:dyDescent="0.2">
      <c r="A50" t="s">
        <v>144</v>
      </c>
      <c r="B50">
        <v>7</v>
      </c>
      <c r="C50">
        <f t="shared" si="2"/>
        <v>4295582.336306287</v>
      </c>
      <c r="I50">
        <v>442</v>
      </c>
      <c r="J50">
        <f t="shared" si="3"/>
        <v>490.36328040026103</v>
      </c>
      <c r="L50">
        <f t="shared" si="1"/>
        <v>188.60126169240809</v>
      </c>
    </row>
    <row r="51" spans="1:12" x14ac:dyDescent="0.2">
      <c r="A51" t="s">
        <v>144</v>
      </c>
      <c r="B51">
        <v>8</v>
      </c>
      <c r="C51">
        <f t="shared" si="2"/>
        <v>4295582.336306287</v>
      </c>
      <c r="I51">
        <v>442</v>
      </c>
      <c r="J51">
        <f t="shared" si="3"/>
        <v>490.36328040026103</v>
      </c>
      <c r="L51">
        <f t="shared" si="1"/>
        <v>188.60126169240809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E551-1874-674A-9A24-0ACA5A2284F6}">
  <dimension ref="A1:G52"/>
  <sheetViews>
    <sheetView workbookViewId="0">
      <selection activeCell="G20" sqref="G20"/>
    </sheetView>
  </sheetViews>
  <sheetFormatPr baseColWidth="10" defaultRowHeight="16" x14ac:dyDescent="0.2"/>
  <sheetData>
    <row r="1" spans="1:7" x14ac:dyDescent="0.2">
      <c r="A1" t="s">
        <v>107</v>
      </c>
    </row>
    <row r="2" spans="1:7" x14ac:dyDescent="0.2">
      <c r="A2" t="s">
        <v>108</v>
      </c>
    </row>
    <row r="3" spans="1:7" x14ac:dyDescent="0.2">
      <c r="A3" t="s">
        <v>98</v>
      </c>
      <c r="B3" t="s">
        <v>2</v>
      </c>
      <c r="C3" t="s">
        <v>103</v>
      </c>
      <c r="G3" t="s">
        <v>156</v>
      </c>
    </row>
    <row r="4" spans="1:7" x14ac:dyDescent="0.2">
      <c r="A4" t="s">
        <v>1</v>
      </c>
      <c r="B4">
        <v>1</v>
      </c>
      <c r="C4">
        <f>G4*8760</f>
        <v>586920</v>
      </c>
      <c r="G4">
        <f>(87+47)/2</f>
        <v>67</v>
      </c>
    </row>
    <row r="5" spans="1:7" x14ac:dyDescent="0.2">
      <c r="A5" t="s">
        <v>1</v>
      </c>
      <c r="B5">
        <v>2</v>
      </c>
      <c r="C5">
        <f t="shared" ref="C5:C52" si="0">G5*8760</f>
        <v>586920</v>
      </c>
      <c r="G5">
        <f t="shared" ref="G5:G19" si="1">(87+47)/2</f>
        <v>67</v>
      </c>
    </row>
    <row r="6" spans="1:7" x14ac:dyDescent="0.2">
      <c r="A6" t="s">
        <v>1</v>
      </c>
      <c r="B6">
        <v>3</v>
      </c>
      <c r="C6">
        <f t="shared" si="0"/>
        <v>586920</v>
      </c>
      <c r="G6">
        <f t="shared" si="1"/>
        <v>67</v>
      </c>
    </row>
    <row r="7" spans="1:7" x14ac:dyDescent="0.2">
      <c r="A7" t="s">
        <v>1</v>
      </c>
      <c r="B7">
        <v>4</v>
      </c>
      <c r="C7">
        <f t="shared" si="0"/>
        <v>586920</v>
      </c>
      <c r="G7">
        <f t="shared" si="1"/>
        <v>67</v>
      </c>
    </row>
    <row r="8" spans="1:7" x14ac:dyDescent="0.2">
      <c r="A8" t="s">
        <v>1</v>
      </c>
      <c r="B8">
        <v>5</v>
      </c>
      <c r="C8">
        <f t="shared" si="0"/>
        <v>586920</v>
      </c>
      <c r="G8">
        <f t="shared" si="1"/>
        <v>67</v>
      </c>
    </row>
    <row r="9" spans="1:7" x14ac:dyDescent="0.2">
      <c r="A9" t="s">
        <v>1</v>
      </c>
      <c r="B9">
        <v>6</v>
      </c>
      <c r="C9">
        <f t="shared" si="0"/>
        <v>586920</v>
      </c>
      <c r="G9">
        <f t="shared" si="1"/>
        <v>67</v>
      </c>
    </row>
    <row r="10" spans="1:7" x14ac:dyDescent="0.2">
      <c r="A10" t="s">
        <v>1</v>
      </c>
      <c r="B10">
        <v>7</v>
      </c>
      <c r="C10">
        <f t="shared" si="0"/>
        <v>586920</v>
      </c>
      <c r="G10">
        <f t="shared" si="1"/>
        <v>67</v>
      </c>
    </row>
    <row r="11" spans="1:7" x14ac:dyDescent="0.2">
      <c r="A11" t="s">
        <v>1</v>
      </c>
      <c r="B11">
        <v>8</v>
      </c>
      <c r="C11">
        <f t="shared" si="0"/>
        <v>586920</v>
      </c>
      <c r="G11">
        <f t="shared" si="1"/>
        <v>67</v>
      </c>
    </row>
    <row r="12" spans="1:7" x14ac:dyDescent="0.2">
      <c r="A12" t="s">
        <v>95</v>
      </c>
      <c r="B12">
        <v>1</v>
      </c>
      <c r="C12">
        <f t="shared" si="0"/>
        <v>586920</v>
      </c>
      <c r="G12">
        <f t="shared" si="1"/>
        <v>67</v>
      </c>
    </row>
    <row r="13" spans="1:7" x14ac:dyDescent="0.2">
      <c r="A13" t="s">
        <v>95</v>
      </c>
      <c r="B13">
        <v>2</v>
      </c>
      <c r="C13">
        <f t="shared" si="0"/>
        <v>586920</v>
      </c>
      <c r="G13">
        <f t="shared" si="1"/>
        <v>67</v>
      </c>
    </row>
    <row r="14" spans="1:7" x14ac:dyDescent="0.2">
      <c r="A14" t="s">
        <v>95</v>
      </c>
      <c r="B14">
        <v>3</v>
      </c>
      <c r="C14">
        <f t="shared" si="0"/>
        <v>586920</v>
      </c>
      <c r="G14">
        <f t="shared" si="1"/>
        <v>67</v>
      </c>
    </row>
    <row r="15" spans="1:7" x14ac:dyDescent="0.2">
      <c r="A15" t="s">
        <v>95</v>
      </c>
      <c r="B15">
        <v>4</v>
      </c>
      <c r="C15">
        <f t="shared" si="0"/>
        <v>586920</v>
      </c>
      <c r="G15">
        <f t="shared" si="1"/>
        <v>67</v>
      </c>
    </row>
    <row r="16" spans="1:7" x14ac:dyDescent="0.2">
      <c r="A16" t="s">
        <v>95</v>
      </c>
      <c r="B16">
        <v>5</v>
      </c>
      <c r="C16">
        <f t="shared" si="0"/>
        <v>586920</v>
      </c>
      <c r="G16">
        <f t="shared" si="1"/>
        <v>67</v>
      </c>
    </row>
    <row r="17" spans="1:7" x14ac:dyDescent="0.2">
      <c r="A17" t="s">
        <v>95</v>
      </c>
      <c r="B17">
        <v>6</v>
      </c>
      <c r="C17">
        <f t="shared" si="0"/>
        <v>586920</v>
      </c>
      <c r="G17">
        <f t="shared" si="1"/>
        <v>67</v>
      </c>
    </row>
    <row r="18" spans="1:7" x14ac:dyDescent="0.2">
      <c r="A18" t="s">
        <v>95</v>
      </c>
      <c r="B18">
        <v>7</v>
      </c>
      <c r="C18">
        <f t="shared" si="0"/>
        <v>586920</v>
      </c>
      <c r="G18">
        <f t="shared" si="1"/>
        <v>67</v>
      </c>
    </row>
    <row r="19" spans="1:7" x14ac:dyDescent="0.2">
      <c r="A19" t="s">
        <v>95</v>
      </c>
      <c r="B19">
        <v>8</v>
      </c>
      <c r="C19">
        <f t="shared" si="0"/>
        <v>586920</v>
      </c>
      <c r="G19">
        <f t="shared" si="1"/>
        <v>67</v>
      </c>
    </row>
    <row r="20" spans="1:7" x14ac:dyDescent="0.2">
      <c r="A20" t="s">
        <v>134</v>
      </c>
      <c r="B20">
        <v>1</v>
      </c>
      <c r="C20">
        <f t="shared" si="0"/>
        <v>385440</v>
      </c>
      <c r="G20">
        <f>(48+125)/2-G28</f>
        <v>44</v>
      </c>
    </row>
    <row r="21" spans="1:7" x14ac:dyDescent="0.2">
      <c r="A21" t="s">
        <v>134</v>
      </c>
      <c r="B21">
        <v>2</v>
      </c>
      <c r="C21">
        <f t="shared" si="0"/>
        <v>385440</v>
      </c>
      <c r="G21">
        <f t="shared" ref="G21:G27" si="2">(48+125)/2-G29</f>
        <v>44</v>
      </c>
    </row>
    <row r="22" spans="1:7" x14ac:dyDescent="0.2">
      <c r="A22" t="s">
        <v>134</v>
      </c>
      <c r="B22">
        <v>3</v>
      </c>
      <c r="C22">
        <f t="shared" si="0"/>
        <v>385440</v>
      </c>
      <c r="G22">
        <f t="shared" si="2"/>
        <v>44</v>
      </c>
    </row>
    <row r="23" spans="1:7" x14ac:dyDescent="0.2">
      <c r="A23" t="s">
        <v>134</v>
      </c>
      <c r="B23">
        <v>4</v>
      </c>
      <c r="C23">
        <f t="shared" si="0"/>
        <v>385440</v>
      </c>
      <c r="G23">
        <f t="shared" si="2"/>
        <v>44</v>
      </c>
    </row>
    <row r="24" spans="1:7" x14ac:dyDescent="0.2">
      <c r="A24" t="s">
        <v>134</v>
      </c>
      <c r="B24">
        <v>5</v>
      </c>
      <c r="C24">
        <f t="shared" si="0"/>
        <v>385440</v>
      </c>
      <c r="G24">
        <f t="shared" si="2"/>
        <v>44</v>
      </c>
    </row>
    <row r="25" spans="1:7" x14ac:dyDescent="0.2">
      <c r="A25" t="s">
        <v>134</v>
      </c>
      <c r="B25">
        <v>6</v>
      </c>
      <c r="C25">
        <f t="shared" si="0"/>
        <v>385440</v>
      </c>
      <c r="G25">
        <f t="shared" si="2"/>
        <v>44</v>
      </c>
    </row>
    <row r="26" spans="1:7" x14ac:dyDescent="0.2">
      <c r="A26" t="s">
        <v>134</v>
      </c>
      <c r="B26">
        <v>7</v>
      </c>
      <c r="C26">
        <f t="shared" si="0"/>
        <v>385440</v>
      </c>
      <c r="G26">
        <f t="shared" si="2"/>
        <v>44</v>
      </c>
    </row>
    <row r="27" spans="1:7" x14ac:dyDescent="0.2">
      <c r="A27" t="s">
        <v>134</v>
      </c>
      <c r="B27">
        <v>8</v>
      </c>
      <c r="C27">
        <f t="shared" si="0"/>
        <v>385440</v>
      </c>
      <c r="G27">
        <f t="shared" si="2"/>
        <v>44</v>
      </c>
    </row>
    <row r="28" spans="1:7" x14ac:dyDescent="0.2">
      <c r="A28" t="s">
        <v>135</v>
      </c>
      <c r="B28">
        <v>1</v>
      </c>
      <c r="C28">
        <f t="shared" si="0"/>
        <v>372300</v>
      </c>
      <c r="G28">
        <f>(31+54)/2</f>
        <v>42.5</v>
      </c>
    </row>
    <row r="29" spans="1:7" x14ac:dyDescent="0.2">
      <c r="A29" t="s">
        <v>135</v>
      </c>
      <c r="B29">
        <v>2</v>
      </c>
      <c r="C29">
        <f t="shared" si="0"/>
        <v>372300</v>
      </c>
      <c r="G29">
        <f t="shared" ref="G29:G35" si="3">(31+54)/2</f>
        <v>42.5</v>
      </c>
    </row>
    <row r="30" spans="1:7" x14ac:dyDescent="0.2">
      <c r="A30" t="s">
        <v>135</v>
      </c>
      <c r="B30">
        <v>3</v>
      </c>
      <c r="C30">
        <f t="shared" si="0"/>
        <v>372300</v>
      </c>
      <c r="G30">
        <f t="shared" si="3"/>
        <v>42.5</v>
      </c>
    </row>
    <row r="31" spans="1:7" x14ac:dyDescent="0.2">
      <c r="A31" t="s">
        <v>135</v>
      </c>
      <c r="B31">
        <v>4</v>
      </c>
      <c r="C31">
        <f t="shared" si="0"/>
        <v>372300</v>
      </c>
      <c r="G31">
        <f t="shared" si="3"/>
        <v>42.5</v>
      </c>
    </row>
    <row r="32" spans="1:7" x14ac:dyDescent="0.2">
      <c r="A32" t="s">
        <v>135</v>
      </c>
      <c r="B32">
        <v>5</v>
      </c>
      <c r="C32">
        <f t="shared" si="0"/>
        <v>372300</v>
      </c>
      <c r="G32">
        <f t="shared" si="3"/>
        <v>42.5</v>
      </c>
    </row>
    <row r="33" spans="1:7" x14ac:dyDescent="0.2">
      <c r="A33" t="s">
        <v>135</v>
      </c>
      <c r="B33">
        <v>6</v>
      </c>
      <c r="C33">
        <f t="shared" si="0"/>
        <v>372300</v>
      </c>
      <c r="G33">
        <f t="shared" si="3"/>
        <v>42.5</v>
      </c>
    </row>
    <row r="34" spans="1:7" x14ac:dyDescent="0.2">
      <c r="A34" t="s">
        <v>135</v>
      </c>
      <c r="B34">
        <v>7</v>
      </c>
      <c r="C34">
        <f t="shared" si="0"/>
        <v>372300</v>
      </c>
      <c r="G34">
        <f t="shared" si="3"/>
        <v>42.5</v>
      </c>
    </row>
    <row r="35" spans="1:7" x14ac:dyDescent="0.2">
      <c r="A35" t="s">
        <v>135</v>
      </c>
      <c r="B35">
        <v>8</v>
      </c>
      <c r="C35">
        <f t="shared" si="0"/>
        <v>372300</v>
      </c>
      <c r="G35">
        <f t="shared" si="3"/>
        <v>42.5</v>
      </c>
    </row>
    <row r="36" spans="1:7" x14ac:dyDescent="0.2">
      <c r="A36" t="s">
        <v>136</v>
      </c>
      <c r="B36">
        <v>1</v>
      </c>
      <c r="C36">
        <f t="shared" si="0"/>
        <v>0</v>
      </c>
      <c r="G36">
        <v>0</v>
      </c>
    </row>
    <row r="37" spans="1:7" x14ac:dyDescent="0.2">
      <c r="A37" t="s">
        <v>136</v>
      </c>
      <c r="B37">
        <v>2</v>
      </c>
      <c r="C37">
        <f t="shared" si="0"/>
        <v>0</v>
      </c>
      <c r="G37">
        <v>0</v>
      </c>
    </row>
    <row r="38" spans="1:7" x14ac:dyDescent="0.2">
      <c r="A38" t="s">
        <v>136</v>
      </c>
      <c r="B38">
        <v>3</v>
      </c>
      <c r="C38">
        <f t="shared" si="0"/>
        <v>0</v>
      </c>
      <c r="G38">
        <v>0</v>
      </c>
    </row>
    <row r="39" spans="1:7" x14ac:dyDescent="0.2">
      <c r="A39" t="s">
        <v>136</v>
      </c>
      <c r="B39">
        <v>4</v>
      </c>
      <c r="C39">
        <f t="shared" si="0"/>
        <v>0</v>
      </c>
      <c r="G39">
        <v>0</v>
      </c>
    </row>
    <row r="40" spans="1:7" x14ac:dyDescent="0.2">
      <c r="A40" t="s">
        <v>136</v>
      </c>
      <c r="B40">
        <v>5</v>
      </c>
      <c r="C40">
        <f t="shared" si="0"/>
        <v>0</v>
      </c>
      <c r="G40">
        <v>0</v>
      </c>
    </row>
    <row r="41" spans="1:7" x14ac:dyDescent="0.2">
      <c r="A41" t="s">
        <v>136</v>
      </c>
      <c r="B41">
        <v>6</v>
      </c>
      <c r="C41">
        <f t="shared" si="0"/>
        <v>0</v>
      </c>
      <c r="G41">
        <v>0</v>
      </c>
    </row>
    <row r="42" spans="1:7" x14ac:dyDescent="0.2">
      <c r="A42" t="s">
        <v>136</v>
      </c>
      <c r="B42">
        <v>7</v>
      </c>
      <c r="C42">
        <f t="shared" si="0"/>
        <v>0</v>
      </c>
      <c r="G42">
        <v>0</v>
      </c>
    </row>
    <row r="43" spans="1:7" x14ac:dyDescent="0.2">
      <c r="A43" t="s">
        <v>136</v>
      </c>
      <c r="B43">
        <v>8</v>
      </c>
      <c r="C43">
        <f t="shared" si="0"/>
        <v>0</v>
      </c>
      <c r="G43">
        <v>0</v>
      </c>
    </row>
    <row r="44" spans="1:7" x14ac:dyDescent="0.2">
      <c r="A44" t="s">
        <v>136</v>
      </c>
      <c r="B44">
        <v>8</v>
      </c>
      <c r="C44">
        <f t="shared" si="0"/>
        <v>0</v>
      </c>
      <c r="G44">
        <v>0</v>
      </c>
    </row>
    <row r="45" spans="1:7" x14ac:dyDescent="0.2">
      <c r="A45" t="s">
        <v>144</v>
      </c>
      <c r="B45">
        <v>1</v>
      </c>
      <c r="C45">
        <f t="shared" si="0"/>
        <v>586920</v>
      </c>
      <c r="G45">
        <f>G4</f>
        <v>67</v>
      </c>
    </row>
    <row r="46" spans="1:7" x14ac:dyDescent="0.2">
      <c r="A46" t="s">
        <v>144</v>
      </c>
      <c r="B46">
        <v>2</v>
      </c>
      <c r="C46">
        <f t="shared" si="0"/>
        <v>586920</v>
      </c>
      <c r="G46">
        <f t="shared" ref="G46:G52" si="4">G5</f>
        <v>67</v>
      </c>
    </row>
    <row r="47" spans="1:7" x14ac:dyDescent="0.2">
      <c r="A47" t="s">
        <v>144</v>
      </c>
      <c r="B47">
        <v>3</v>
      </c>
      <c r="C47">
        <f t="shared" si="0"/>
        <v>586920</v>
      </c>
      <c r="G47">
        <f t="shared" si="4"/>
        <v>67</v>
      </c>
    </row>
    <row r="48" spans="1:7" x14ac:dyDescent="0.2">
      <c r="A48" t="s">
        <v>144</v>
      </c>
      <c r="B48">
        <v>4</v>
      </c>
      <c r="C48">
        <f t="shared" si="0"/>
        <v>586920</v>
      </c>
      <c r="G48">
        <f t="shared" si="4"/>
        <v>67</v>
      </c>
    </row>
    <row r="49" spans="1:7" x14ac:dyDescent="0.2">
      <c r="A49" t="s">
        <v>144</v>
      </c>
      <c r="B49">
        <v>5</v>
      </c>
      <c r="C49">
        <f t="shared" si="0"/>
        <v>586920</v>
      </c>
      <c r="G49">
        <f t="shared" si="4"/>
        <v>67</v>
      </c>
    </row>
    <row r="50" spans="1:7" x14ac:dyDescent="0.2">
      <c r="A50" t="s">
        <v>144</v>
      </c>
      <c r="B50">
        <v>6</v>
      </c>
      <c r="C50">
        <f t="shared" si="0"/>
        <v>586920</v>
      </c>
      <c r="G50">
        <f t="shared" si="4"/>
        <v>67</v>
      </c>
    </row>
    <row r="51" spans="1:7" x14ac:dyDescent="0.2">
      <c r="A51" t="s">
        <v>144</v>
      </c>
      <c r="B51">
        <v>7</v>
      </c>
      <c r="C51">
        <f t="shared" si="0"/>
        <v>586920</v>
      </c>
      <c r="G51">
        <f t="shared" si="4"/>
        <v>67</v>
      </c>
    </row>
    <row r="52" spans="1:7" x14ac:dyDescent="0.2">
      <c r="A52" t="s">
        <v>144</v>
      </c>
      <c r="B52">
        <v>8</v>
      </c>
      <c r="C52">
        <f t="shared" si="0"/>
        <v>586920</v>
      </c>
      <c r="G52">
        <f t="shared" si="4"/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BA43-E3C0-2D4F-A644-3EE1E70A453A}">
  <dimension ref="A1:C51"/>
  <sheetViews>
    <sheetView workbookViewId="0"/>
  </sheetViews>
  <sheetFormatPr baseColWidth="10" defaultRowHeight="16" x14ac:dyDescent="0.2"/>
  <sheetData>
    <row r="1" spans="1:3" x14ac:dyDescent="0.2">
      <c r="A1" t="s">
        <v>102</v>
      </c>
    </row>
    <row r="2" spans="1:3" x14ac:dyDescent="0.2">
      <c r="A2" t="s">
        <v>106</v>
      </c>
    </row>
    <row r="3" spans="1:3" x14ac:dyDescent="0.2">
      <c r="A3" t="s">
        <v>98</v>
      </c>
      <c r="B3" t="s">
        <v>2</v>
      </c>
      <c r="C3" t="s">
        <v>105</v>
      </c>
    </row>
    <row r="4" spans="1:3" x14ac:dyDescent="0.2">
      <c r="A4" t="s">
        <v>1</v>
      </c>
      <c r="B4">
        <v>1</v>
      </c>
      <c r="C4">
        <f>0.24*429</f>
        <v>102.96</v>
      </c>
    </row>
    <row r="5" spans="1:3" x14ac:dyDescent="0.2">
      <c r="A5" t="s">
        <v>1</v>
      </c>
      <c r="B5">
        <v>2</v>
      </c>
      <c r="C5">
        <f t="shared" ref="C5:C19" si="0">0.24*429</f>
        <v>102.96</v>
      </c>
    </row>
    <row r="6" spans="1:3" x14ac:dyDescent="0.2">
      <c r="A6" t="s">
        <v>1</v>
      </c>
      <c r="B6">
        <v>3</v>
      </c>
      <c r="C6">
        <f t="shared" si="0"/>
        <v>102.96</v>
      </c>
    </row>
    <row r="7" spans="1:3" x14ac:dyDescent="0.2">
      <c r="A7" t="s">
        <v>1</v>
      </c>
      <c r="B7">
        <v>4</v>
      </c>
      <c r="C7">
        <f t="shared" si="0"/>
        <v>102.96</v>
      </c>
    </row>
    <row r="8" spans="1:3" x14ac:dyDescent="0.2">
      <c r="A8" t="s">
        <v>1</v>
      </c>
      <c r="B8">
        <v>5</v>
      </c>
      <c r="C8">
        <f t="shared" si="0"/>
        <v>102.96</v>
      </c>
    </row>
    <row r="9" spans="1:3" x14ac:dyDescent="0.2">
      <c r="A9" t="s">
        <v>1</v>
      </c>
      <c r="B9">
        <v>6</v>
      </c>
      <c r="C9">
        <f t="shared" si="0"/>
        <v>102.96</v>
      </c>
    </row>
    <row r="10" spans="1:3" x14ac:dyDescent="0.2">
      <c r="A10" t="s">
        <v>1</v>
      </c>
      <c r="B10">
        <v>7</v>
      </c>
      <c r="C10">
        <f t="shared" si="0"/>
        <v>102.96</v>
      </c>
    </row>
    <row r="11" spans="1:3" x14ac:dyDescent="0.2">
      <c r="A11" t="s">
        <v>1</v>
      </c>
      <c r="B11">
        <v>8</v>
      </c>
      <c r="C11">
        <f t="shared" si="0"/>
        <v>102.96</v>
      </c>
    </row>
    <row r="12" spans="1:3" x14ac:dyDescent="0.2">
      <c r="A12" t="s">
        <v>95</v>
      </c>
      <c r="B12">
        <v>1</v>
      </c>
      <c r="C12">
        <f t="shared" si="0"/>
        <v>102.96</v>
      </c>
    </row>
    <row r="13" spans="1:3" x14ac:dyDescent="0.2">
      <c r="A13" t="s">
        <v>95</v>
      </c>
      <c r="B13">
        <v>2</v>
      </c>
      <c r="C13">
        <f t="shared" si="0"/>
        <v>102.96</v>
      </c>
    </row>
    <row r="14" spans="1:3" x14ac:dyDescent="0.2">
      <c r="A14" t="s">
        <v>95</v>
      </c>
      <c r="B14">
        <v>3</v>
      </c>
      <c r="C14">
        <f t="shared" si="0"/>
        <v>102.96</v>
      </c>
    </row>
    <row r="15" spans="1:3" x14ac:dyDescent="0.2">
      <c r="A15" t="s">
        <v>95</v>
      </c>
      <c r="B15">
        <v>4</v>
      </c>
      <c r="C15">
        <f t="shared" si="0"/>
        <v>102.96</v>
      </c>
    </row>
    <row r="16" spans="1:3" x14ac:dyDescent="0.2">
      <c r="A16" t="s">
        <v>95</v>
      </c>
      <c r="B16">
        <v>5</v>
      </c>
      <c r="C16">
        <f t="shared" si="0"/>
        <v>102.96</v>
      </c>
    </row>
    <row r="17" spans="1:3" x14ac:dyDescent="0.2">
      <c r="A17" t="s">
        <v>95</v>
      </c>
      <c r="B17">
        <v>6</v>
      </c>
      <c r="C17">
        <f t="shared" si="0"/>
        <v>102.96</v>
      </c>
    </row>
    <row r="18" spans="1:3" x14ac:dyDescent="0.2">
      <c r="A18" t="s">
        <v>95</v>
      </c>
      <c r="B18">
        <v>7</v>
      </c>
      <c r="C18">
        <f t="shared" si="0"/>
        <v>102.96</v>
      </c>
    </row>
    <row r="19" spans="1:3" x14ac:dyDescent="0.2">
      <c r="A19" t="s">
        <v>95</v>
      </c>
      <c r="B19">
        <v>8</v>
      </c>
      <c r="C19">
        <f t="shared" si="0"/>
        <v>102.96</v>
      </c>
    </row>
    <row r="20" spans="1:3" x14ac:dyDescent="0.2">
      <c r="A20" t="s">
        <v>134</v>
      </c>
      <c r="B20">
        <v>1</v>
      </c>
      <c r="C20">
        <f>0.13*572-C28</f>
        <v>15.68</v>
      </c>
    </row>
    <row r="21" spans="1:3" x14ac:dyDescent="0.2">
      <c r="A21" t="s">
        <v>134</v>
      </c>
      <c r="B21">
        <v>2</v>
      </c>
      <c r="C21">
        <f t="shared" ref="C21:C27" si="1">0.13*572-C29</f>
        <v>15.68</v>
      </c>
    </row>
    <row r="22" spans="1:3" x14ac:dyDescent="0.2">
      <c r="A22" t="s">
        <v>134</v>
      </c>
      <c r="B22">
        <v>3</v>
      </c>
      <c r="C22">
        <f t="shared" si="1"/>
        <v>15.68</v>
      </c>
    </row>
    <row r="23" spans="1:3" x14ac:dyDescent="0.2">
      <c r="A23" t="s">
        <v>134</v>
      </c>
      <c r="B23">
        <v>4</v>
      </c>
      <c r="C23">
        <f t="shared" si="1"/>
        <v>15.68</v>
      </c>
    </row>
    <row r="24" spans="1:3" x14ac:dyDescent="0.2">
      <c r="A24" t="s">
        <v>134</v>
      </c>
      <c r="B24">
        <v>5</v>
      </c>
      <c r="C24">
        <f t="shared" si="1"/>
        <v>15.68</v>
      </c>
    </row>
    <row r="25" spans="1:3" x14ac:dyDescent="0.2">
      <c r="A25" t="s">
        <v>134</v>
      </c>
      <c r="B25">
        <v>6</v>
      </c>
      <c r="C25">
        <f t="shared" si="1"/>
        <v>15.68</v>
      </c>
    </row>
    <row r="26" spans="1:3" x14ac:dyDescent="0.2">
      <c r="A26" t="s">
        <v>134</v>
      </c>
      <c r="B26">
        <v>7</v>
      </c>
      <c r="C26">
        <f t="shared" si="1"/>
        <v>15.68</v>
      </c>
    </row>
    <row r="27" spans="1:3" x14ac:dyDescent="0.2">
      <c r="A27" t="s">
        <v>134</v>
      </c>
      <c r="B27">
        <v>8</v>
      </c>
      <c r="C27">
        <f t="shared" si="1"/>
        <v>15.68</v>
      </c>
    </row>
    <row r="28" spans="1:3" x14ac:dyDescent="0.2">
      <c r="A28" t="s">
        <v>135</v>
      </c>
      <c r="B28">
        <v>1</v>
      </c>
      <c r="C28">
        <f>0.12*489</f>
        <v>58.68</v>
      </c>
    </row>
    <row r="29" spans="1:3" x14ac:dyDescent="0.2">
      <c r="A29" t="s">
        <v>135</v>
      </c>
      <c r="B29">
        <v>2</v>
      </c>
      <c r="C29">
        <f t="shared" ref="C29:C35" si="2">0.12*489</f>
        <v>58.68</v>
      </c>
    </row>
    <row r="30" spans="1:3" x14ac:dyDescent="0.2">
      <c r="A30" t="s">
        <v>135</v>
      </c>
      <c r="B30">
        <v>3</v>
      </c>
      <c r="C30">
        <f t="shared" si="2"/>
        <v>58.68</v>
      </c>
    </row>
    <row r="31" spans="1:3" x14ac:dyDescent="0.2">
      <c r="A31" t="s">
        <v>135</v>
      </c>
      <c r="B31">
        <v>4</v>
      </c>
      <c r="C31">
        <f t="shared" si="2"/>
        <v>58.68</v>
      </c>
    </row>
    <row r="32" spans="1:3" x14ac:dyDescent="0.2">
      <c r="A32" t="s">
        <v>135</v>
      </c>
      <c r="B32">
        <v>5</v>
      </c>
      <c r="C32">
        <f t="shared" si="2"/>
        <v>58.68</v>
      </c>
    </row>
    <row r="33" spans="1:3" x14ac:dyDescent="0.2">
      <c r="A33" t="s">
        <v>135</v>
      </c>
      <c r="B33">
        <v>6</v>
      </c>
      <c r="C33">
        <f t="shared" si="2"/>
        <v>58.68</v>
      </c>
    </row>
    <row r="34" spans="1:3" x14ac:dyDescent="0.2">
      <c r="A34" t="s">
        <v>135</v>
      </c>
      <c r="B34">
        <v>7</v>
      </c>
      <c r="C34">
        <f t="shared" si="2"/>
        <v>58.68</v>
      </c>
    </row>
    <row r="35" spans="1:3" x14ac:dyDescent="0.2">
      <c r="A35" t="s">
        <v>135</v>
      </c>
      <c r="B35">
        <v>8</v>
      </c>
      <c r="C35">
        <f t="shared" si="2"/>
        <v>58.68</v>
      </c>
    </row>
    <row r="36" spans="1:3" x14ac:dyDescent="0.2">
      <c r="A36" t="s">
        <v>136</v>
      </c>
      <c r="B36">
        <v>1</v>
      </c>
      <c r="C36">
        <v>0</v>
      </c>
    </row>
    <row r="37" spans="1:3" x14ac:dyDescent="0.2">
      <c r="A37" t="s">
        <v>136</v>
      </c>
      <c r="B37">
        <v>2</v>
      </c>
      <c r="C37">
        <v>0</v>
      </c>
    </row>
    <row r="38" spans="1:3" x14ac:dyDescent="0.2">
      <c r="A38" t="s">
        <v>136</v>
      </c>
      <c r="B38">
        <v>3</v>
      </c>
      <c r="C38">
        <v>0</v>
      </c>
    </row>
    <row r="39" spans="1:3" x14ac:dyDescent="0.2">
      <c r="A39" t="s">
        <v>136</v>
      </c>
      <c r="B39">
        <v>4</v>
      </c>
      <c r="C39">
        <v>0</v>
      </c>
    </row>
    <row r="40" spans="1:3" x14ac:dyDescent="0.2">
      <c r="A40" t="s">
        <v>136</v>
      </c>
      <c r="B40">
        <v>5</v>
      </c>
      <c r="C40">
        <v>0</v>
      </c>
    </row>
    <row r="41" spans="1:3" x14ac:dyDescent="0.2">
      <c r="A41" t="s">
        <v>136</v>
      </c>
      <c r="B41">
        <v>6</v>
      </c>
      <c r="C41">
        <v>0</v>
      </c>
    </row>
    <row r="42" spans="1:3" x14ac:dyDescent="0.2">
      <c r="A42" t="s">
        <v>136</v>
      </c>
      <c r="B42">
        <v>7</v>
      </c>
      <c r="C42">
        <v>0</v>
      </c>
    </row>
    <row r="43" spans="1:3" x14ac:dyDescent="0.2">
      <c r="A43" t="s">
        <v>136</v>
      </c>
      <c r="B43">
        <v>8</v>
      </c>
      <c r="C43">
        <v>0</v>
      </c>
    </row>
    <row r="44" spans="1:3" x14ac:dyDescent="0.2">
      <c r="A44" t="s">
        <v>144</v>
      </c>
      <c r="B44">
        <v>1</v>
      </c>
      <c r="C44">
        <f>C4</f>
        <v>102.96</v>
      </c>
    </row>
    <row r="45" spans="1:3" x14ac:dyDescent="0.2">
      <c r="A45" t="s">
        <v>144</v>
      </c>
      <c r="B45">
        <v>2</v>
      </c>
      <c r="C45">
        <f t="shared" ref="C45:C51" si="3">C5</f>
        <v>102.96</v>
      </c>
    </row>
    <row r="46" spans="1:3" x14ac:dyDescent="0.2">
      <c r="A46" t="s">
        <v>144</v>
      </c>
      <c r="B46">
        <v>3</v>
      </c>
      <c r="C46">
        <f t="shared" si="3"/>
        <v>102.96</v>
      </c>
    </row>
    <row r="47" spans="1:3" x14ac:dyDescent="0.2">
      <c r="A47" t="s">
        <v>144</v>
      </c>
      <c r="B47">
        <v>4</v>
      </c>
      <c r="C47">
        <f t="shared" si="3"/>
        <v>102.96</v>
      </c>
    </row>
    <row r="48" spans="1:3" x14ac:dyDescent="0.2">
      <c r="A48" t="s">
        <v>144</v>
      </c>
      <c r="B48">
        <v>5</v>
      </c>
      <c r="C48">
        <f t="shared" si="3"/>
        <v>102.96</v>
      </c>
    </row>
    <row r="49" spans="1:3" x14ac:dyDescent="0.2">
      <c r="A49" t="s">
        <v>144</v>
      </c>
      <c r="B49">
        <v>6</v>
      </c>
      <c r="C49">
        <f t="shared" si="3"/>
        <v>102.96</v>
      </c>
    </row>
    <row r="50" spans="1:3" x14ac:dyDescent="0.2">
      <c r="A50" t="s">
        <v>144</v>
      </c>
      <c r="B50">
        <v>7</v>
      </c>
      <c r="C50">
        <f t="shared" si="3"/>
        <v>102.96</v>
      </c>
    </row>
    <row r="51" spans="1:3" x14ac:dyDescent="0.2">
      <c r="A51" t="s">
        <v>144</v>
      </c>
      <c r="B51">
        <v>8</v>
      </c>
      <c r="C51">
        <f t="shared" si="3"/>
        <v>102.96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8E824-4B64-1449-ABFF-26BF52C87165}">
  <dimension ref="A1:G51"/>
  <sheetViews>
    <sheetView workbookViewId="0"/>
  </sheetViews>
  <sheetFormatPr baseColWidth="10" defaultRowHeight="16" x14ac:dyDescent="0.2"/>
  <sheetData>
    <row r="1" spans="1:7" x14ac:dyDescent="0.2">
      <c r="A1" t="s">
        <v>94</v>
      </c>
    </row>
    <row r="2" spans="1:7" x14ac:dyDescent="0.2">
      <c r="A2" t="s">
        <v>96</v>
      </c>
    </row>
    <row r="3" spans="1:7" x14ac:dyDescent="0.2">
      <c r="A3" t="s">
        <v>3</v>
      </c>
      <c r="B3" t="s">
        <v>2</v>
      </c>
      <c r="C3" t="s">
        <v>146</v>
      </c>
      <c r="G3" t="s">
        <v>157</v>
      </c>
    </row>
    <row r="4" spans="1:7" x14ac:dyDescent="0.2">
      <c r="A4" t="s">
        <v>1</v>
      </c>
      <c r="B4">
        <v>1</v>
      </c>
      <c r="C4" s="1">
        <f>5150*3.6/1000</f>
        <v>18.54</v>
      </c>
      <c r="G4" s="1">
        <f>5150</f>
        <v>5150</v>
      </c>
    </row>
    <row r="5" spans="1:7" x14ac:dyDescent="0.2">
      <c r="A5" t="s">
        <v>1</v>
      </c>
      <c r="B5">
        <v>2</v>
      </c>
      <c r="C5" s="1">
        <f t="shared" ref="C5:C11" si="0">5150*3.6/1000</f>
        <v>18.54</v>
      </c>
      <c r="G5" s="1">
        <f>5150</f>
        <v>5150</v>
      </c>
    </row>
    <row r="6" spans="1:7" x14ac:dyDescent="0.2">
      <c r="A6" t="s">
        <v>1</v>
      </c>
      <c r="B6">
        <v>3</v>
      </c>
      <c r="C6" s="1">
        <f t="shared" si="0"/>
        <v>18.54</v>
      </c>
      <c r="G6" s="1">
        <f>5150</f>
        <v>5150</v>
      </c>
    </row>
    <row r="7" spans="1:7" x14ac:dyDescent="0.2">
      <c r="A7" t="s">
        <v>1</v>
      </c>
      <c r="B7">
        <v>4</v>
      </c>
      <c r="C7" s="1">
        <f t="shared" si="0"/>
        <v>18.54</v>
      </c>
      <c r="G7" s="1">
        <f>5150</f>
        <v>5150</v>
      </c>
    </row>
    <row r="8" spans="1:7" x14ac:dyDescent="0.2">
      <c r="A8" t="s">
        <v>1</v>
      </c>
      <c r="B8">
        <v>5</v>
      </c>
      <c r="C8" s="1">
        <f t="shared" si="0"/>
        <v>18.54</v>
      </c>
      <c r="G8" s="1">
        <f>5150</f>
        <v>5150</v>
      </c>
    </row>
    <row r="9" spans="1:7" x14ac:dyDescent="0.2">
      <c r="A9" t="s">
        <v>1</v>
      </c>
      <c r="B9">
        <v>6</v>
      </c>
      <c r="C9" s="1">
        <f t="shared" si="0"/>
        <v>18.54</v>
      </c>
      <c r="G9" s="1">
        <f>5150</f>
        <v>5150</v>
      </c>
    </row>
    <row r="10" spans="1:7" x14ac:dyDescent="0.2">
      <c r="A10" t="s">
        <v>1</v>
      </c>
      <c r="B10">
        <v>7</v>
      </c>
      <c r="C10" s="1">
        <f t="shared" si="0"/>
        <v>18.54</v>
      </c>
      <c r="G10" s="1">
        <f>5150</f>
        <v>5150</v>
      </c>
    </row>
    <row r="11" spans="1:7" x14ac:dyDescent="0.2">
      <c r="A11" t="s">
        <v>1</v>
      </c>
      <c r="B11">
        <v>8</v>
      </c>
      <c r="C11" s="1">
        <f t="shared" si="0"/>
        <v>18.54</v>
      </c>
      <c r="G11" s="1">
        <f>5150</f>
        <v>5150</v>
      </c>
    </row>
    <row r="12" spans="1:7" x14ac:dyDescent="0.2">
      <c r="A12" t="s">
        <v>95</v>
      </c>
      <c r="B12">
        <v>1</v>
      </c>
      <c r="C12" s="1">
        <v>0</v>
      </c>
      <c r="G12" s="1">
        <v>0</v>
      </c>
    </row>
    <row r="13" spans="1:7" x14ac:dyDescent="0.2">
      <c r="A13" t="s">
        <v>95</v>
      </c>
      <c r="B13">
        <v>2</v>
      </c>
      <c r="C13" s="1">
        <v>0</v>
      </c>
      <c r="G13" s="1">
        <v>0</v>
      </c>
    </row>
    <row r="14" spans="1:7" x14ac:dyDescent="0.2">
      <c r="A14" t="s">
        <v>95</v>
      </c>
      <c r="B14">
        <v>3</v>
      </c>
      <c r="C14" s="1">
        <v>0</v>
      </c>
      <c r="G14" s="1">
        <v>0</v>
      </c>
    </row>
    <row r="15" spans="1:7" x14ac:dyDescent="0.2">
      <c r="A15" t="s">
        <v>95</v>
      </c>
      <c r="B15">
        <v>4</v>
      </c>
      <c r="C15" s="1">
        <v>0</v>
      </c>
      <c r="G15" s="1">
        <v>0</v>
      </c>
    </row>
    <row r="16" spans="1:7" x14ac:dyDescent="0.2">
      <c r="A16" t="s">
        <v>95</v>
      </c>
      <c r="B16">
        <v>5</v>
      </c>
      <c r="C16" s="1">
        <v>0</v>
      </c>
      <c r="G16" s="1">
        <v>0</v>
      </c>
    </row>
    <row r="17" spans="1:7" x14ac:dyDescent="0.2">
      <c r="A17" t="s">
        <v>95</v>
      </c>
      <c r="B17">
        <v>6</v>
      </c>
      <c r="C17" s="1">
        <v>0</v>
      </c>
      <c r="G17" s="1">
        <v>0</v>
      </c>
    </row>
    <row r="18" spans="1:7" x14ac:dyDescent="0.2">
      <c r="A18" t="s">
        <v>95</v>
      </c>
      <c r="B18">
        <v>7</v>
      </c>
      <c r="C18" s="1">
        <v>0</v>
      </c>
      <c r="G18" s="1">
        <v>0</v>
      </c>
    </row>
    <row r="19" spans="1:7" x14ac:dyDescent="0.2">
      <c r="A19" t="s">
        <v>95</v>
      </c>
      <c r="B19">
        <v>8</v>
      </c>
      <c r="C19" s="1">
        <v>0</v>
      </c>
      <c r="G19" s="1">
        <v>0</v>
      </c>
    </row>
    <row r="20" spans="1:7" x14ac:dyDescent="0.2">
      <c r="A20" t="s">
        <v>134</v>
      </c>
      <c r="B20">
        <v>1</v>
      </c>
      <c r="C20" s="1">
        <v>0</v>
      </c>
      <c r="G20" s="1">
        <v>0</v>
      </c>
    </row>
    <row r="21" spans="1:7" x14ac:dyDescent="0.2">
      <c r="A21" t="s">
        <v>134</v>
      </c>
      <c r="B21">
        <v>2</v>
      </c>
      <c r="C21" s="1">
        <v>0</v>
      </c>
      <c r="G21" s="1">
        <v>0</v>
      </c>
    </row>
    <row r="22" spans="1:7" x14ac:dyDescent="0.2">
      <c r="A22" t="s">
        <v>134</v>
      </c>
      <c r="B22">
        <v>3</v>
      </c>
      <c r="C22" s="1">
        <v>0</v>
      </c>
      <c r="G22" s="1">
        <v>0</v>
      </c>
    </row>
    <row r="23" spans="1:7" x14ac:dyDescent="0.2">
      <c r="A23" t="s">
        <v>134</v>
      </c>
      <c r="B23">
        <v>4</v>
      </c>
      <c r="C23" s="1">
        <v>0</v>
      </c>
      <c r="G23" s="1">
        <v>0</v>
      </c>
    </row>
    <row r="24" spans="1:7" x14ac:dyDescent="0.2">
      <c r="A24" t="s">
        <v>134</v>
      </c>
      <c r="B24">
        <v>5</v>
      </c>
      <c r="C24" s="1">
        <v>0</v>
      </c>
      <c r="G24" s="1">
        <v>0</v>
      </c>
    </row>
    <row r="25" spans="1:7" x14ac:dyDescent="0.2">
      <c r="A25" t="s">
        <v>134</v>
      </c>
      <c r="B25">
        <v>6</v>
      </c>
      <c r="C25" s="1">
        <v>0</v>
      </c>
      <c r="G25" s="1">
        <v>0</v>
      </c>
    </row>
    <row r="26" spans="1:7" x14ac:dyDescent="0.2">
      <c r="A26" t="s">
        <v>134</v>
      </c>
      <c r="B26">
        <v>7</v>
      </c>
      <c r="C26" s="1">
        <v>0</v>
      </c>
      <c r="G26" s="1">
        <v>0</v>
      </c>
    </row>
    <row r="27" spans="1:7" x14ac:dyDescent="0.2">
      <c r="A27" t="s">
        <v>134</v>
      </c>
      <c r="B27">
        <v>8</v>
      </c>
      <c r="C27" s="1">
        <v>0</v>
      </c>
      <c r="G27" s="1">
        <v>0</v>
      </c>
    </row>
    <row r="28" spans="1:7" x14ac:dyDescent="0.2">
      <c r="A28" t="s">
        <v>135</v>
      </c>
      <c r="B28">
        <v>1</v>
      </c>
      <c r="C28" s="1">
        <v>0</v>
      </c>
      <c r="G28" s="1">
        <v>0</v>
      </c>
    </row>
    <row r="29" spans="1:7" x14ac:dyDescent="0.2">
      <c r="A29" t="s">
        <v>135</v>
      </c>
      <c r="B29">
        <v>2</v>
      </c>
      <c r="C29" s="1">
        <v>0</v>
      </c>
      <c r="G29" s="1">
        <v>0</v>
      </c>
    </row>
    <row r="30" spans="1:7" x14ac:dyDescent="0.2">
      <c r="A30" t="s">
        <v>135</v>
      </c>
      <c r="B30">
        <v>3</v>
      </c>
      <c r="C30" s="1">
        <v>0</v>
      </c>
      <c r="G30" s="1">
        <v>0</v>
      </c>
    </row>
    <row r="31" spans="1:7" x14ac:dyDescent="0.2">
      <c r="A31" t="s">
        <v>135</v>
      </c>
      <c r="B31">
        <v>4</v>
      </c>
      <c r="C31" s="1">
        <v>0</v>
      </c>
      <c r="G31" s="1">
        <v>0</v>
      </c>
    </row>
    <row r="32" spans="1:7" x14ac:dyDescent="0.2">
      <c r="A32" t="s">
        <v>135</v>
      </c>
      <c r="B32">
        <v>5</v>
      </c>
      <c r="C32" s="1">
        <v>0</v>
      </c>
      <c r="G32" s="1">
        <v>0</v>
      </c>
    </row>
    <row r="33" spans="1:7" x14ac:dyDescent="0.2">
      <c r="A33" t="s">
        <v>135</v>
      </c>
      <c r="B33">
        <v>6</v>
      </c>
      <c r="C33" s="1">
        <v>0</v>
      </c>
      <c r="G33" s="1">
        <v>0</v>
      </c>
    </row>
    <row r="34" spans="1:7" x14ac:dyDescent="0.2">
      <c r="A34" t="s">
        <v>135</v>
      </c>
      <c r="B34">
        <v>7</v>
      </c>
      <c r="C34" s="1">
        <v>0</v>
      </c>
      <c r="G34" s="1">
        <v>0</v>
      </c>
    </row>
    <row r="35" spans="1:7" x14ac:dyDescent="0.2">
      <c r="A35" t="s">
        <v>135</v>
      </c>
      <c r="B35">
        <v>8</v>
      </c>
      <c r="C35" s="1">
        <v>0</v>
      </c>
      <c r="G35" s="1">
        <v>0</v>
      </c>
    </row>
    <row r="36" spans="1:7" x14ac:dyDescent="0.2">
      <c r="A36" t="s">
        <v>136</v>
      </c>
      <c r="B36">
        <v>1</v>
      </c>
      <c r="C36">
        <v>0</v>
      </c>
      <c r="G36">
        <v>0</v>
      </c>
    </row>
    <row r="37" spans="1:7" x14ac:dyDescent="0.2">
      <c r="A37" t="s">
        <v>136</v>
      </c>
      <c r="B37">
        <v>2</v>
      </c>
      <c r="C37">
        <v>0</v>
      </c>
      <c r="G37">
        <v>0</v>
      </c>
    </row>
    <row r="38" spans="1:7" x14ac:dyDescent="0.2">
      <c r="A38" t="s">
        <v>136</v>
      </c>
      <c r="B38">
        <v>3</v>
      </c>
      <c r="C38">
        <v>0</v>
      </c>
      <c r="G38">
        <v>0</v>
      </c>
    </row>
    <row r="39" spans="1:7" x14ac:dyDescent="0.2">
      <c r="A39" t="s">
        <v>136</v>
      </c>
      <c r="B39">
        <v>4</v>
      </c>
      <c r="C39">
        <v>0</v>
      </c>
      <c r="G39">
        <v>0</v>
      </c>
    </row>
    <row r="40" spans="1:7" x14ac:dyDescent="0.2">
      <c r="A40" t="s">
        <v>136</v>
      </c>
      <c r="B40">
        <v>5</v>
      </c>
      <c r="C40">
        <v>0</v>
      </c>
      <c r="G40">
        <v>0</v>
      </c>
    </row>
    <row r="41" spans="1:7" x14ac:dyDescent="0.2">
      <c r="A41" t="s">
        <v>136</v>
      </c>
      <c r="B41">
        <v>6</v>
      </c>
      <c r="C41">
        <v>0</v>
      </c>
      <c r="G41">
        <v>0</v>
      </c>
    </row>
    <row r="42" spans="1:7" x14ac:dyDescent="0.2">
      <c r="A42" t="s">
        <v>136</v>
      </c>
      <c r="B42">
        <v>7</v>
      </c>
      <c r="C42">
        <v>0</v>
      </c>
      <c r="G42">
        <v>0</v>
      </c>
    </row>
    <row r="43" spans="1:7" x14ac:dyDescent="0.2">
      <c r="A43" t="s">
        <v>136</v>
      </c>
      <c r="B43">
        <v>8</v>
      </c>
      <c r="C43">
        <v>0</v>
      </c>
      <c r="G43">
        <v>0</v>
      </c>
    </row>
    <row r="44" spans="1:7" x14ac:dyDescent="0.2">
      <c r="A44" t="s">
        <v>144</v>
      </c>
      <c r="B44">
        <v>1</v>
      </c>
      <c r="C44" s="1">
        <f>C4</f>
        <v>18.54</v>
      </c>
      <c r="G44" s="1">
        <f>G4</f>
        <v>5150</v>
      </c>
    </row>
    <row r="45" spans="1:7" x14ac:dyDescent="0.2">
      <c r="A45" t="s">
        <v>144</v>
      </c>
      <c r="B45">
        <v>2</v>
      </c>
      <c r="C45" s="1">
        <f t="shared" ref="C45:C51" si="1">C5</f>
        <v>18.54</v>
      </c>
      <c r="G45" s="1">
        <f t="shared" ref="G45:G51" si="2">G5</f>
        <v>5150</v>
      </c>
    </row>
    <row r="46" spans="1:7" x14ac:dyDescent="0.2">
      <c r="A46" t="s">
        <v>144</v>
      </c>
      <c r="B46">
        <v>3</v>
      </c>
      <c r="C46" s="1">
        <f t="shared" si="1"/>
        <v>18.54</v>
      </c>
      <c r="G46" s="1">
        <f t="shared" si="2"/>
        <v>5150</v>
      </c>
    </row>
    <row r="47" spans="1:7" x14ac:dyDescent="0.2">
      <c r="A47" t="s">
        <v>144</v>
      </c>
      <c r="B47">
        <v>4</v>
      </c>
      <c r="C47" s="1">
        <f t="shared" si="1"/>
        <v>18.54</v>
      </c>
      <c r="G47" s="1">
        <f t="shared" si="2"/>
        <v>5150</v>
      </c>
    </row>
    <row r="48" spans="1:7" x14ac:dyDescent="0.2">
      <c r="A48" t="s">
        <v>144</v>
      </c>
      <c r="B48">
        <v>5</v>
      </c>
      <c r="C48" s="1">
        <f t="shared" si="1"/>
        <v>18.54</v>
      </c>
      <c r="G48" s="1">
        <f t="shared" si="2"/>
        <v>5150</v>
      </c>
    </row>
    <row r="49" spans="1:7" x14ac:dyDescent="0.2">
      <c r="A49" t="s">
        <v>144</v>
      </c>
      <c r="B49">
        <v>6</v>
      </c>
      <c r="C49" s="1">
        <f t="shared" si="1"/>
        <v>18.54</v>
      </c>
      <c r="G49" s="1">
        <f t="shared" si="2"/>
        <v>5150</v>
      </c>
    </row>
    <row r="50" spans="1:7" x14ac:dyDescent="0.2">
      <c r="A50" t="s">
        <v>144</v>
      </c>
      <c r="B50">
        <v>7</v>
      </c>
      <c r="C50" s="1">
        <f t="shared" si="1"/>
        <v>18.54</v>
      </c>
      <c r="G50" s="1">
        <f t="shared" si="2"/>
        <v>5150</v>
      </c>
    </row>
    <row r="51" spans="1:7" x14ac:dyDescent="0.2">
      <c r="A51" t="s">
        <v>144</v>
      </c>
      <c r="B51">
        <v>8</v>
      </c>
      <c r="C51" s="1">
        <f t="shared" si="1"/>
        <v>18.54</v>
      </c>
      <c r="G51" s="1">
        <f t="shared" si="2"/>
        <v>5150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0F00-D2C0-8A44-AD83-14201DC86CE6}">
  <dimension ref="A1:C51"/>
  <sheetViews>
    <sheetView workbookViewId="0"/>
  </sheetViews>
  <sheetFormatPr baseColWidth="10" defaultRowHeight="16" x14ac:dyDescent="0.2"/>
  <sheetData>
    <row r="1" spans="1:3" x14ac:dyDescent="0.2">
      <c r="A1" t="s">
        <v>5</v>
      </c>
    </row>
    <row r="2" spans="1:3" x14ac:dyDescent="0.2">
      <c r="A2" t="s">
        <v>66</v>
      </c>
    </row>
    <row r="3" spans="1:3" x14ac:dyDescent="0.2">
      <c r="A3" t="s">
        <v>3</v>
      </c>
      <c r="B3" t="s">
        <v>2</v>
      </c>
      <c r="C3" t="s">
        <v>147</v>
      </c>
    </row>
    <row r="4" spans="1:3" x14ac:dyDescent="0.2">
      <c r="A4" t="s">
        <v>1</v>
      </c>
      <c r="B4">
        <v>1</v>
      </c>
      <c r="C4">
        <v>0</v>
      </c>
    </row>
    <row r="5" spans="1:3" x14ac:dyDescent="0.2">
      <c r="A5" t="s">
        <v>1</v>
      </c>
      <c r="B5">
        <v>2</v>
      </c>
      <c r="C5">
        <v>0</v>
      </c>
    </row>
    <row r="6" spans="1:3" x14ac:dyDescent="0.2">
      <c r="A6" t="s">
        <v>1</v>
      </c>
      <c r="B6">
        <v>3</v>
      </c>
      <c r="C6">
        <v>0</v>
      </c>
    </row>
    <row r="7" spans="1:3" x14ac:dyDescent="0.2">
      <c r="A7" t="s">
        <v>1</v>
      </c>
      <c r="B7">
        <v>4</v>
      </c>
      <c r="C7">
        <v>0</v>
      </c>
    </row>
    <row r="8" spans="1:3" x14ac:dyDescent="0.2">
      <c r="A8" t="s">
        <v>1</v>
      </c>
      <c r="B8">
        <v>5</v>
      </c>
      <c r="C8">
        <v>0</v>
      </c>
    </row>
    <row r="9" spans="1:3" x14ac:dyDescent="0.2">
      <c r="A9" t="s">
        <v>1</v>
      </c>
      <c r="B9">
        <v>6</v>
      </c>
      <c r="C9">
        <v>0</v>
      </c>
    </row>
    <row r="10" spans="1:3" x14ac:dyDescent="0.2">
      <c r="A10" t="s">
        <v>1</v>
      </c>
      <c r="B10">
        <v>7</v>
      </c>
      <c r="C10">
        <v>0</v>
      </c>
    </row>
    <row r="11" spans="1:3" x14ac:dyDescent="0.2">
      <c r="A11" t="s">
        <v>1</v>
      </c>
      <c r="B11">
        <v>8</v>
      </c>
      <c r="C11">
        <v>0</v>
      </c>
    </row>
    <row r="12" spans="1:3" x14ac:dyDescent="0.2">
      <c r="A12" t="s">
        <v>95</v>
      </c>
      <c r="B12">
        <v>1</v>
      </c>
      <c r="C12">
        <v>0</v>
      </c>
    </row>
    <row r="13" spans="1:3" x14ac:dyDescent="0.2">
      <c r="A13" t="s">
        <v>95</v>
      </c>
      <c r="B13">
        <v>2</v>
      </c>
      <c r="C13">
        <v>0</v>
      </c>
    </row>
    <row r="14" spans="1:3" x14ac:dyDescent="0.2">
      <c r="A14" t="s">
        <v>95</v>
      </c>
      <c r="B14">
        <v>3</v>
      </c>
      <c r="C14">
        <v>0</v>
      </c>
    </row>
    <row r="15" spans="1:3" x14ac:dyDescent="0.2">
      <c r="A15" t="s">
        <v>95</v>
      </c>
      <c r="B15">
        <v>4</v>
      </c>
      <c r="C15">
        <v>0</v>
      </c>
    </row>
    <row r="16" spans="1:3" x14ac:dyDescent="0.2">
      <c r="A16" t="s">
        <v>95</v>
      </c>
      <c r="B16">
        <v>5</v>
      </c>
      <c r="C16">
        <v>0</v>
      </c>
    </row>
    <row r="17" spans="1:3" x14ac:dyDescent="0.2">
      <c r="A17" t="s">
        <v>95</v>
      </c>
      <c r="B17">
        <v>6</v>
      </c>
      <c r="C17">
        <v>0</v>
      </c>
    </row>
    <row r="18" spans="1:3" x14ac:dyDescent="0.2">
      <c r="A18" t="s">
        <v>95</v>
      </c>
      <c r="B18">
        <v>7</v>
      </c>
      <c r="C18">
        <v>0</v>
      </c>
    </row>
    <row r="19" spans="1:3" x14ac:dyDescent="0.2">
      <c r="A19" t="s">
        <v>95</v>
      </c>
      <c r="B19">
        <v>8</v>
      </c>
      <c r="C19">
        <v>0</v>
      </c>
    </row>
    <row r="20" spans="1:3" x14ac:dyDescent="0.2">
      <c r="A20" t="s">
        <v>134</v>
      </c>
      <c r="B20">
        <v>1</v>
      </c>
      <c r="C20" s="1">
        <f>51+(57-51)/(8-1)*(8-$B20)</f>
        <v>57</v>
      </c>
    </row>
    <row r="21" spans="1:3" x14ac:dyDescent="0.2">
      <c r="A21" t="s">
        <v>134</v>
      </c>
      <c r="B21">
        <v>2</v>
      </c>
      <c r="C21" s="1">
        <f t="shared" ref="C21:C27" si="0">51+(57-51)/(8-1)*(8-$B21)</f>
        <v>56.142857142857139</v>
      </c>
    </row>
    <row r="22" spans="1:3" x14ac:dyDescent="0.2">
      <c r="A22" t="s">
        <v>134</v>
      </c>
      <c r="B22">
        <v>3</v>
      </c>
      <c r="C22" s="1">
        <f t="shared" si="0"/>
        <v>55.285714285714285</v>
      </c>
    </row>
    <row r="23" spans="1:3" x14ac:dyDescent="0.2">
      <c r="A23" t="s">
        <v>134</v>
      </c>
      <c r="B23">
        <v>4</v>
      </c>
      <c r="C23" s="1">
        <f t="shared" si="0"/>
        <v>54.428571428571431</v>
      </c>
    </row>
    <row r="24" spans="1:3" x14ac:dyDescent="0.2">
      <c r="A24" t="s">
        <v>134</v>
      </c>
      <c r="B24">
        <v>5</v>
      </c>
      <c r="C24" s="1">
        <f t="shared" si="0"/>
        <v>53.571428571428569</v>
      </c>
    </row>
    <row r="25" spans="1:3" x14ac:dyDescent="0.2">
      <c r="A25" t="s">
        <v>134</v>
      </c>
      <c r="B25">
        <v>6</v>
      </c>
      <c r="C25" s="1">
        <f t="shared" si="0"/>
        <v>52.714285714285715</v>
      </c>
    </row>
    <row r="26" spans="1:3" x14ac:dyDescent="0.2">
      <c r="A26" t="s">
        <v>134</v>
      </c>
      <c r="B26">
        <v>7</v>
      </c>
      <c r="C26" s="1">
        <f t="shared" si="0"/>
        <v>51.857142857142854</v>
      </c>
    </row>
    <row r="27" spans="1:3" x14ac:dyDescent="0.2">
      <c r="A27" t="s">
        <v>134</v>
      </c>
      <c r="B27">
        <v>8</v>
      </c>
      <c r="C27" s="1">
        <f t="shared" si="0"/>
        <v>51</v>
      </c>
    </row>
    <row r="28" spans="1:3" x14ac:dyDescent="0.2">
      <c r="A28" t="s">
        <v>135</v>
      </c>
      <c r="B28">
        <v>1</v>
      </c>
      <c r="C28">
        <v>0</v>
      </c>
    </row>
    <row r="29" spans="1:3" x14ac:dyDescent="0.2">
      <c r="A29" t="s">
        <v>135</v>
      </c>
      <c r="B29">
        <v>2</v>
      </c>
      <c r="C29">
        <v>0</v>
      </c>
    </row>
    <row r="30" spans="1:3" x14ac:dyDescent="0.2">
      <c r="A30" t="s">
        <v>135</v>
      </c>
      <c r="B30">
        <v>3</v>
      </c>
      <c r="C30">
        <v>0</v>
      </c>
    </row>
    <row r="31" spans="1:3" x14ac:dyDescent="0.2">
      <c r="A31" t="s">
        <v>135</v>
      </c>
      <c r="B31">
        <v>4</v>
      </c>
      <c r="C31">
        <v>0</v>
      </c>
    </row>
    <row r="32" spans="1:3" x14ac:dyDescent="0.2">
      <c r="A32" t="s">
        <v>135</v>
      </c>
      <c r="B32">
        <v>5</v>
      </c>
      <c r="C32">
        <v>0</v>
      </c>
    </row>
    <row r="33" spans="1:3" x14ac:dyDescent="0.2">
      <c r="A33" t="s">
        <v>135</v>
      </c>
      <c r="B33">
        <v>6</v>
      </c>
      <c r="C33">
        <v>0</v>
      </c>
    </row>
    <row r="34" spans="1:3" x14ac:dyDescent="0.2">
      <c r="A34" t="s">
        <v>135</v>
      </c>
      <c r="B34">
        <v>7</v>
      </c>
      <c r="C34">
        <v>0</v>
      </c>
    </row>
    <row r="35" spans="1:3" x14ac:dyDescent="0.2">
      <c r="A35" t="s">
        <v>135</v>
      </c>
      <c r="B35">
        <v>8</v>
      </c>
      <c r="C35">
        <v>0</v>
      </c>
    </row>
    <row r="36" spans="1:3" x14ac:dyDescent="0.2">
      <c r="A36" t="s">
        <v>136</v>
      </c>
      <c r="B36">
        <v>1</v>
      </c>
      <c r="C36">
        <v>0</v>
      </c>
    </row>
    <row r="37" spans="1:3" x14ac:dyDescent="0.2">
      <c r="A37" t="s">
        <v>136</v>
      </c>
      <c r="B37">
        <v>2</v>
      </c>
      <c r="C37">
        <v>0</v>
      </c>
    </row>
    <row r="38" spans="1:3" x14ac:dyDescent="0.2">
      <c r="A38" t="s">
        <v>136</v>
      </c>
      <c r="B38">
        <v>3</v>
      </c>
      <c r="C38">
        <v>0</v>
      </c>
    </row>
    <row r="39" spans="1:3" x14ac:dyDescent="0.2">
      <c r="A39" t="s">
        <v>136</v>
      </c>
      <c r="B39">
        <v>4</v>
      </c>
      <c r="C39">
        <v>0</v>
      </c>
    </row>
    <row r="40" spans="1:3" x14ac:dyDescent="0.2">
      <c r="A40" t="s">
        <v>136</v>
      </c>
      <c r="B40">
        <v>5</v>
      </c>
      <c r="C40">
        <v>0</v>
      </c>
    </row>
    <row r="41" spans="1:3" x14ac:dyDescent="0.2">
      <c r="A41" t="s">
        <v>136</v>
      </c>
      <c r="B41">
        <v>6</v>
      </c>
      <c r="C41">
        <v>0</v>
      </c>
    </row>
    <row r="42" spans="1:3" x14ac:dyDescent="0.2">
      <c r="A42" t="s">
        <v>136</v>
      </c>
      <c r="B42">
        <v>7</v>
      </c>
      <c r="C42">
        <v>0</v>
      </c>
    </row>
    <row r="43" spans="1:3" x14ac:dyDescent="0.2">
      <c r="A43" t="s">
        <v>136</v>
      </c>
      <c r="B43">
        <v>8</v>
      </c>
      <c r="C43">
        <v>0</v>
      </c>
    </row>
    <row r="44" spans="1:3" x14ac:dyDescent="0.2">
      <c r="A44" t="s">
        <v>144</v>
      </c>
      <c r="B44">
        <v>1</v>
      </c>
      <c r="C44">
        <f>C4</f>
        <v>0</v>
      </c>
    </row>
    <row r="45" spans="1:3" x14ac:dyDescent="0.2">
      <c r="A45" t="s">
        <v>144</v>
      </c>
      <c r="B45">
        <v>2</v>
      </c>
      <c r="C45">
        <f t="shared" ref="C45:C51" si="1">C5</f>
        <v>0</v>
      </c>
    </row>
    <row r="46" spans="1:3" x14ac:dyDescent="0.2">
      <c r="A46" t="s">
        <v>144</v>
      </c>
      <c r="B46">
        <v>3</v>
      </c>
      <c r="C46">
        <f t="shared" si="1"/>
        <v>0</v>
      </c>
    </row>
    <row r="47" spans="1:3" x14ac:dyDescent="0.2">
      <c r="A47" t="s">
        <v>144</v>
      </c>
      <c r="B47">
        <v>4</v>
      </c>
      <c r="C47">
        <f t="shared" si="1"/>
        <v>0</v>
      </c>
    </row>
    <row r="48" spans="1:3" x14ac:dyDescent="0.2">
      <c r="A48" t="s">
        <v>144</v>
      </c>
      <c r="B48">
        <v>5</v>
      </c>
      <c r="C48">
        <f t="shared" si="1"/>
        <v>0</v>
      </c>
    </row>
    <row r="49" spans="1:3" x14ac:dyDescent="0.2">
      <c r="A49" t="s">
        <v>144</v>
      </c>
      <c r="B49">
        <v>6</v>
      </c>
      <c r="C49">
        <f t="shared" si="1"/>
        <v>0</v>
      </c>
    </row>
    <row r="50" spans="1:3" x14ac:dyDescent="0.2">
      <c r="A50" t="s">
        <v>144</v>
      </c>
      <c r="B50">
        <v>7</v>
      </c>
      <c r="C50">
        <f t="shared" si="1"/>
        <v>0</v>
      </c>
    </row>
    <row r="51" spans="1:3" x14ac:dyDescent="0.2">
      <c r="A51" t="s">
        <v>144</v>
      </c>
      <c r="B51">
        <v>8</v>
      </c>
      <c r="C51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8CB8-69CD-5B41-89BA-2DEB73096030}">
  <dimension ref="A1:C51"/>
  <sheetViews>
    <sheetView workbookViewId="0"/>
  </sheetViews>
  <sheetFormatPr baseColWidth="10" defaultRowHeight="16" x14ac:dyDescent="0.2"/>
  <sheetData>
    <row r="1" spans="1:3" x14ac:dyDescent="0.2">
      <c r="A1" t="s">
        <v>94</v>
      </c>
    </row>
    <row r="2" spans="1:3" x14ac:dyDescent="0.2">
      <c r="A2" t="s">
        <v>96</v>
      </c>
    </row>
    <row r="3" spans="1:3" x14ac:dyDescent="0.2">
      <c r="A3" t="s">
        <v>3</v>
      </c>
      <c r="B3" t="s">
        <v>2</v>
      </c>
      <c r="C3" t="s">
        <v>4</v>
      </c>
    </row>
    <row r="4" spans="1:3" x14ac:dyDescent="0.2">
      <c r="A4" t="s">
        <v>1</v>
      </c>
      <c r="B4">
        <v>1</v>
      </c>
      <c r="C4">
        <v>0</v>
      </c>
    </row>
    <row r="5" spans="1:3" x14ac:dyDescent="0.2">
      <c r="A5" t="s">
        <v>1</v>
      </c>
      <c r="B5">
        <v>2</v>
      </c>
      <c r="C5">
        <v>0</v>
      </c>
    </row>
    <row r="6" spans="1:3" x14ac:dyDescent="0.2">
      <c r="A6" t="s">
        <v>1</v>
      </c>
      <c r="B6">
        <v>3</v>
      </c>
      <c r="C6">
        <v>0</v>
      </c>
    </row>
    <row r="7" spans="1:3" x14ac:dyDescent="0.2">
      <c r="A7" t="s">
        <v>1</v>
      </c>
      <c r="B7">
        <v>4</v>
      </c>
      <c r="C7">
        <v>0</v>
      </c>
    </row>
    <row r="8" spans="1:3" x14ac:dyDescent="0.2">
      <c r="A8" t="s">
        <v>1</v>
      </c>
      <c r="B8">
        <v>5</v>
      </c>
      <c r="C8">
        <v>0</v>
      </c>
    </row>
    <row r="9" spans="1:3" x14ac:dyDescent="0.2">
      <c r="A9" t="s">
        <v>1</v>
      </c>
      <c r="B9">
        <v>6</v>
      </c>
      <c r="C9">
        <v>0</v>
      </c>
    </row>
    <row r="10" spans="1:3" x14ac:dyDescent="0.2">
      <c r="A10" t="s">
        <v>1</v>
      </c>
      <c r="B10">
        <v>7</v>
      </c>
      <c r="C10">
        <v>0</v>
      </c>
    </row>
    <row r="11" spans="1:3" x14ac:dyDescent="0.2">
      <c r="A11" t="s">
        <v>1</v>
      </c>
      <c r="B11">
        <v>8</v>
      </c>
      <c r="C11">
        <v>0</v>
      </c>
    </row>
    <row r="12" spans="1:3" x14ac:dyDescent="0.2">
      <c r="A12" t="s">
        <v>95</v>
      </c>
      <c r="B12">
        <v>1</v>
      </c>
      <c r="C12" s="1">
        <f>(5150+81)*3.6/1000</f>
        <v>18.831600000000002</v>
      </c>
    </row>
    <row r="13" spans="1:3" x14ac:dyDescent="0.2">
      <c r="A13" t="s">
        <v>95</v>
      </c>
      <c r="B13">
        <v>2</v>
      </c>
      <c r="C13" s="1">
        <f t="shared" ref="C13:C19" si="0">(5150+81)*3.6/1000</f>
        <v>18.831600000000002</v>
      </c>
    </row>
    <row r="14" spans="1:3" x14ac:dyDescent="0.2">
      <c r="A14" t="s">
        <v>95</v>
      </c>
      <c r="B14">
        <v>3</v>
      </c>
      <c r="C14" s="1">
        <f t="shared" si="0"/>
        <v>18.831600000000002</v>
      </c>
    </row>
    <row r="15" spans="1:3" x14ac:dyDescent="0.2">
      <c r="A15" t="s">
        <v>95</v>
      </c>
      <c r="B15">
        <v>4</v>
      </c>
      <c r="C15" s="1">
        <f t="shared" si="0"/>
        <v>18.831600000000002</v>
      </c>
    </row>
    <row r="16" spans="1:3" x14ac:dyDescent="0.2">
      <c r="A16" t="s">
        <v>95</v>
      </c>
      <c r="B16">
        <v>5</v>
      </c>
      <c r="C16" s="1">
        <f t="shared" si="0"/>
        <v>18.831600000000002</v>
      </c>
    </row>
    <row r="17" spans="1:3" x14ac:dyDescent="0.2">
      <c r="A17" t="s">
        <v>95</v>
      </c>
      <c r="B17">
        <v>6</v>
      </c>
      <c r="C17" s="1">
        <f t="shared" si="0"/>
        <v>18.831600000000002</v>
      </c>
    </row>
    <row r="18" spans="1:3" x14ac:dyDescent="0.2">
      <c r="A18" t="s">
        <v>95</v>
      </c>
      <c r="B18">
        <v>7</v>
      </c>
      <c r="C18" s="1">
        <f t="shared" si="0"/>
        <v>18.831600000000002</v>
      </c>
    </row>
    <row r="19" spans="1:3" x14ac:dyDescent="0.2">
      <c r="A19" t="s">
        <v>95</v>
      </c>
      <c r="B19">
        <v>8</v>
      </c>
      <c r="C19" s="1">
        <f t="shared" si="0"/>
        <v>18.831600000000002</v>
      </c>
    </row>
    <row r="20" spans="1:3" x14ac:dyDescent="0.2">
      <c r="A20" t="s">
        <v>134</v>
      </c>
      <c r="B20">
        <v>1</v>
      </c>
      <c r="C20" s="1">
        <f>(560-380)*3.6/1000</f>
        <v>0.64800000000000002</v>
      </c>
    </row>
    <row r="21" spans="1:3" x14ac:dyDescent="0.2">
      <c r="A21" t="s">
        <v>134</v>
      </c>
      <c r="B21">
        <v>2</v>
      </c>
      <c r="C21" s="1">
        <f>(560-380)*3.6/1000</f>
        <v>0.64800000000000002</v>
      </c>
    </row>
    <row r="22" spans="1:3" x14ac:dyDescent="0.2">
      <c r="A22" t="s">
        <v>134</v>
      </c>
      <c r="B22">
        <v>3</v>
      </c>
      <c r="C22" s="1">
        <f t="shared" ref="C22:C27" si="1">(560-380)*3.6/1000</f>
        <v>0.64800000000000002</v>
      </c>
    </row>
    <row r="23" spans="1:3" x14ac:dyDescent="0.2">
      <c r="A23" t="s">
        <v>134</v>
      </c>
      <c r="B23">
        <v>4</v>
      </c>
      <c r="C23" s="1">
        <f t="shared" si="1"/>
        <v>0.64800000000000002</v>
      </c>
    </row>
    <row r="24" spans="1:3" x14ac:dyDescent="0.2">
      <c r="A24" t="s">
        <v>134</v>
      </c>
      <c r="B24">
        <v>5</v>
      </c>
      <c r="C24" s="1">
        <f t="shared" si="1"/>
        <v>0.64800000000000002</v>
      </c>
    </row>
    <row r="25" spans="1:3" x14ac:dyDescent="0.2">
      <c r="A25" t="s">
        <v>134</v>
      </c>
      <c r="B25">
        <v>6</v>
      </c>
      <c r="C25" s="1">
        <f t="shared" si="1"/>
        <v>0.64800000000000002</v>
      </c>
    </row>
    <row r="26" spans="1:3" x14ac:dyDescent="0.2">
      <c r="A26" t="s">
        <v>134</v>
      </c>
      <c r="B26">
        <v>7</v>
      </c>
      <c r="C26" s="1">
        <f t="shared" si="1"/>
        <v>0.64800000000000002</v>
      </c>
    </row>
    <row r="27" spans="1:3" x14ac:dyDescent="0.2">
      <c r="A27" t="s">
        <v>134</v>
      </c>
      <c r="B27">
        <v>8</v>
      </c>
      <c r="C27" s="1">
        <f t="shared" si="1"/>
        <v>0.64800000000000002</v>
      </c>
    </row>
    <row r="28" spans="1:3" x14ac:dyDescent="0.2">
      <c r="A28" t="s">
        <v>135</v>
      </c>
      <c r="B28">
        <v>1</v>
      </c>
      <c r="C28" s="1">
        <f>(380)*3.6/1000</f>
        <v>1.3680000000000001</v>
      </c>
    </row>
    <row r="29" spans="1:3" x14ac:dyDescent="0.2">
      <c r="A29" t="s">
        <v>135</v>
      </c>
      <c r="B29">
        <v>2</v>
      </c>
      <c r="C29" s="1">
        <f t="shared" ref="C29:C35" si="2">(380)*3.6/1000</f>
        <v>1.3680000000000001</v>
      </c>
    </row>
    <row r="30" spans="1:3" x14ac:dyDescent="0.2">
      <c r="A30" t="s">
        <v>135</v>
      </c>
      <c r="B30">
        <v>3</v>
      </c>
      <c r="C30" s="1">
        <f t="shared" si="2"/>
        <v>1.3680000000000001</v>
      </c>
    </row>
    <row r="31" spans="1:3" x14ac:dyDescent="0.2">
      <c r="A31" t="s">
        <v>135</v>
      </c>
      <c r="B31">
        <v>4</v>
      </c>
      <c r="C31" s="1">
        <f t="shared" si="2"/>
        <v>1.3680000000000001</v>
      </c>
    </row>
    <row r="32" spans="1:3" x14ac:dyDescent="0.2">
      <c r="A32" t="s">
        <v>135</v>
      </c>
      <c r="B32">
        <v>5</v>
      </c>
      <c r="C32" s="1">
        <f t="shared" si="2"/>
        <v>1.3680000000000001</v>
      </c>
    </row>
    <row r="33" spans="1:3" x14ac:dyDescent="0.2">
      <c r="A33" t="s">
        <v>135</v>
      </c>
      <c r="B33">
        <v>6</v>
      </c>
      <c r="C33" s="1">
        <f t="shared" si="2"/>
        <v>1.3680000000000001</v>
      </c>
    </row>
    <row r="34" spans="1:3" x14ac:dyDescent="0.2">
      <c r="A34" t="s">
        <v>135</v>
      </c>
      <c r="B34">
        <v>7</v>
      </c>
      <c r="C34" s="1">
        <f t="shared" si="2"/>
        <v>1.3680000000000001</v>
      </c>
    </row>
    <row r="35" spans="1:3" x14ac:dyDescent="0.2">
      <c r="A35" t="s">
        <v>135</v>
      </c>
      <c r="B35">
        <v>8</v>
      </c>
      <c r="C35" s="1">
        <f t="shared" si="2"/>
        <v>1.3680000000000001</v>
      </c>
    </row>
    <row r="36" spans="1:3" x14ac:dyDescent="0.2">
      <c r="A36" t="s">
        <v>136</v>
      </c>
      <c r="B36">
        <v>1</v>
      </c>
      <c r="C36">
        <v>0</v>
      </c>
    </row>
    <row r="37" spans="1:3" x14ac:dyDescent="0.2">
      <c r="A37" t="s">
        <v>136</v>
      </c>
      <c r="B37">
        <v>2</v>
      </c>
      <c r="C37">
        <v>0</v>
      </c>
    </row>
    <row r="38" spans="1:3" x14ac:dyDescent="0.2">
      <c r="A38" t="s">
        <v>136</v>
      </c>
      <c r="B38">
        <v>3</v>
      </c>
      <c r="C38">
        <v>0</v>
      </c>
    </row>
    <row r="39" spans="1:3" x14ac:dyDescent="0.2">
      <c r="A39" t="s">
        <v>136</v>
      </c>
      <c r="B39">
        <v>4</v>
      </c>
      <c r="C39">
        <v>0</v>
      </c>
    </row>
    <row r="40" spans="1:3" x14ac:dyDescent="0.2">
      <c r="A40" t="s">
        <v>136</v>
      </c>
      <c r="B40">
        <v>5</v>
      </c>
      <c r="C40">
        <v>0</v>
      </c>
    </row>
    <row r="41" spans="1:3" x14ac:dyDescent="0.2">
      <c r="A41" t="s">
        <v>136</v>
      </c>
      <c r="B41">
        <v>6</v>
      </c>
      <c r="C41">
        <v>0</v>
      </c>
    </row>
    <row r="42" spans="1:3" x14ac:dyDescent="0.2">
      <c r="A42" t="s">
        <v>136</v>
      </c>
      <c r="B42">
        <v>7</v>
      </c>
      <c r="C42">
        <v>0</v>
      </c>
    </row>
    <row r="43" spans="1:3" x14ac:dyDescent="0.2">
      <c r="A43" t="s">
        <v>136</v>
      </c>
      <c r="B43">
        <v>8</v>
      </c>
      <c r="C43">
        <v>0</v>
      </c>
    </row>
    <row r="44" spans="1:3" x14ac:dyDescent="0.2">
      <c r="A44" t="s">
        <v>144</v>
      </c>
      <c r="B44">
        <v>1</v>
      </c>
      <c r="C44">
        <f>C4</f>
        <v>0</v>
      </c>
    </row>
    <row r="45" spans="1:3" x14ac:dyDescent="0.2">
      <c r="A45" t="s">
        <v>144</v>
      </c>
      <c r="B45">
        <v>2</v>
      </c>
      <c r="C45">
        <f t="shared" ref="C45:C51" si="3">C5</f>
        <v>0</v>
      </c>
    </row>
    <row r="46" spans="1:3" x14ac:dyDescent="0.2">
      <c r="A46" t="s">
        <v>144</v>
      </c>
      <c r="B46">
        <v>3</v>
      </c>
      <c r="C46">
        <f t="shared" si="3"/>
        <v>0</v>
      </c>
    </row>
    <row r="47" spans="1:3" x14ac:dyDescent="0.2">
      <c r="A47" t="s">
        <v>144</v>
      </c>
      <c r="B47">
        <v>4</v>
      </c>
      <c r="C47">
        <f t="shared" si="3"/>
        <v>0</v>
      </c>
    </row>
    <row r="48" spans="1:3" x14ac:dyDescent="0.2">
      <c r="A48" t="s">
        <v>144</v>
      </c>
      <c r="B48">
        <v>5</v>
      </c>
      <c r="C48">
        <f t="shared" si="3"/>
        <v>0</v>
      </c>
    </row>
    <row r="49" spans="1:3" x14ac:dyDescent="0.2">
      <c r="A49" t="s">
        <v>144</v>
      </c>
      <c r="B49">
        <v>6</v>
      </c>
      <c r="C49">
        <f t="shared" si="3"/>
        <v>0</v>
      </c>
    </row>
    <row r="50" spans="1:3" x14ac:dyDescent="0.2">
      <c r="A50" t="s">
        <v>144</v>
      </c>
      <c r="B50">
        <v>7</v>
      </c>
      <c r="C50">
        <f t="shared" si="3"/>
        <v>0</v>
      </c>
    </row>
    <row r="51" spans="1:3" x14ac:dyDescent="0.2">
      <c r="A51" t="s">
        <v>144</v>
      </c>
      <c r="B51">
        <v>8</v>
      </c>
      <c r="C5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Steel_Plants</vt:lpstr>
      <vt:lpstr>Steel_InitialCapacity</vt:lpstr>
      <vt:lpstr>Steel_ScaleFactorInitialCap</vt:lpstr>
      <vt:lpstr>Steel_InvCost</vt:lpstr>
      <vt:lpstr>Steel_FixedOM</vt:lpstr>
      <vt:lpstr>Steel_VarOpex</vt:lpstr>
      <vt:lpstr>Steel_CoalConsumption</vt:lpstr>
      <vt:lpstr>Steel_HydrogenConsumption</vt:lpstr>
      <vt:lpstr>Steel_BioConsumption</vt:lpstr>
      <vt:lpstr>Steel_OilConsumption</vt:lpstr>
      <vt:lpstr>Steel_ElConsumption</vt:lpstr>
      <vt:lpstr>Steel_CO2Emissions</vt:lpstr>
      <vt:lpstr>Steel_CO2Captured</vt:lpstr>
      <vt:lpstr>Steel_YearlyProduction</vt:lpstr>
      <vt:lpstr>Cement_Plants</vt:lpstr>
      <vt:lpstr>Cement_InitialCapacity</vt:lpstr>
      <vt:lpstr>Cement_ScaleFactorInitialCap</vt:lpstr>
      <vt:lpstr>Cement_InvCost</vt:lpstr>
      <vt:lpstr>Cement_FixedOM</vt:lpstr>
      <vt:lpstr>Cement_FuelConsumption</vt:lpstr>
      <vt:lpstr>Cement_CO2CaptureRate</vt:lpstr>
      <vt:lpstr>Cement_ElConsumption</vt:lpstr>
      <vt:lpstr>Cement_YearlyProduction</vt:lpstr>
      <vt:lpstr>Ammonia_Plants</vt:lpstr>
      <vt:lpstr>Ammonia_InitialCapacity</vt:lpstr>
      <vt:lpstr>Ammonia_ScaleFactorInitialCap</vt:lpstr>
      <vt:lpstr>Ammonia_InvCost</vt:lpstr>
      <vt:lpstr>Ammonia_FixedOM</vt:lpstr>
      <vt:lpstr>Ammonia_FeedstockConsumption</vt:lpstr>
      <vt:lpstr>Ammonia_ElConsumption</vt:lpstr>
      <vt:lpstr>Ammonia_YearlyProduction</vt:lpstr>
      <vt:lpstr>Refinery_HydrogenConsumption</vt:lpstr>
      <vt:lpstr>Refinery_HeatConsumption</vt:lpstr>
      <vt:lpstr>Refinery_YearlyProduction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2022-06-06T09:57:04Z</dcterms:created>
  <dcterms:modified xsi:type="dcterms:W3CDTF">2023-06-08T13:38:22Z</dcterms:modified>
</cp:coreProperties>
</file>