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CCFC2CAD-D0AE-9A4F-B78A-2750FA012AA7}" xr6:coauthVersionLast="47" xr6:coauthVersionMax="47" xr10:uidLastSave="{00000000-0000-0000-0000-000000000000}"/>
  <bookViews>
    <workbookView xWindow="-51200" yWindow="-5660" windowWidth="51200" windowHeight="27240" activeTab="4" xr2:uid="{79F82280-0E93-B140-BD22-977FEA777D13}"/>
  </bookViews>
  <sheets>
    <sheet name="StorageCapacity" sheetId="1" r:id="rId1"/>
    <sheet name="PipelineCapacity" sheetId="2" r:id="rId2"/>
    <sheet name="PipelineElectricityUse" sheetId="12" r:id="rId3"/>
    <sheet name="TerminalCost" sheetId="9" r:id="rId4"/>
    <sheet name="TerminalCapacity" sheetId="10" r:id="rId5"/>
    <sheet name="Reserves" sheetId="11" r:id="rId6"/>
  </sheets>
  <definedNames>
    <definedName name="_xlnm._FilterDatabase" localSheetId="1" hidden="1">PipelineCapacity!$A$3:$C$85</definedName>
    <definedName name="_xlnm._FilterDatabase" localSheetId="0" hidden="1">StorageCapacity!$A$3:$B$20</definedName>
    <definedName name="_xlnm._FilterDatabase" localSheetId="4" hidden="1">TerminalCapacity!$A$3:$D$235</definedName>
    <definedName name="_xlnm._FilterDatabase" localSheetId="3" hidden="1">TerminalCost!$A$3:$D$195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5" i="10" l="1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235" i="9" l="1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40" i="9"/>
  <c r="S36" i="9"/>
  <c r="S37" i="9"/>
  <c r="S38" i="9"/>
  <c r="S39" i="9"/>
  <c r="S40" i="9"/>
  <c r="S41" i="9"/>
  <c r="S42" i="9"/>
  <c r="S35" i="9"/>
  <c r="D220" i="10" l="1"/>
  <c r="D218" i="10"/>
  <c r="D213" i="10"/>
  <c r="D212" i="10"/>
  <c r="D210" i="10"/>
  <c r="D205" i="10"/>
  <c r="D204" i="10"/>
  <c r="D202" i="10"/>
  <c r="D197" i="10"/>
  <c r="D196" i="10"/>
  <c r="K20" i="10"/>
  <c r="K19" i="10"/>
  <c r="K18" i="10"/>
  <c r="K17" i="10"/>
  <c r="J17" i="10" s="1"/>
  <c r="D211" i="10" s="1"/>
  <c r="J16" i="10"/>
  <c r="D203" i="10" s="1"/>
  <c r="J18" i="10"/>
  <c r="D219" i="10" s="1"/>
  <c r="J19" i="10"/>
  <c r="D227" i="10" s="1"/>
  <c r="J20" i="10"/>
  <c r="D235" i="10" s="1"/>
  <c r="K16" i="10"/>
  <c r="K14" i="10"/>
  <c r="K12" i="10"/>
  <c r="K11" i="10"/>
  <c r="K9" i="10"/>
  <c r="K8" i="10"/>
  <c r="K7" i="10"/>
  <c r="K6" i="10"/>
  <c r="K5" i="10"/>
  <c r="D229" i="10" l="1"/>
  <c r="D198" i="10"/>
  <c r="D206" i="10"/>
  <c r="D214" i="10"/>
  <c r="D222" i="10"/>
  <c r="D230" i="10"/>
  <c r="D199" i="10"/>
  <c r="D207" i="10"/>
  <c r="D215" i="10"/>
  <c r="D223" i="10"/>
  <c r="D231" i="10"/>
  <c r="D200" i="10"/>
  <c r="D208" i="10"/>
  <c r="D216" i="10"/>
  <c r="D224" i="10"/>
  <c r="D232" i="10"/>
  <c r="D228" i="10"/>
  <c r="D221" i="10"/>
  <c r="D201" i="10"/>
  <c r="D209" i="10"/>
  <c r="D217" i="10"/>
  <c r="D225" i="10"/>
  <c r="D233" i="10"/>
  <c r="D234" i="10"/>
  <c r="D226" i="10"/>
  <c r="J19" i="9" l="1"/>
  <c r="J20" i="9"/>
  <c r="J21" i="9"/>
  <c r="J22" i="9"/>
  <c r="J23" i="9"/>
  <c r="J24" i="9"/>
  <c r="J25" i="9"/>
  <c r="J26" i="9"/>
  <c r="J27" i="9"/>
  <c r="J28" i="9"/>
  <c r="J29" i="9"/>
  <c r="J18" i="9"/>
  <c r="I30" i="9"/>
  <c r="J30" i="9" l="1"/>
  <c r="D75" i="9" l="1"/>
  <c r="D68" i="9"/>
  <c r="D54" i="9"/>
  <c r="D52" i="9"/>
  <c r="D6" i="9"/>
  <c r="D7" i="9"/>
  <c r="D14" i="9"/>
  <c r="D15" i="9"/>
  <c r="D16" i="9"/>
  <c r="D31" i="9"/>
  <c r="D32" i="9"/>
  <c r="D33" i="9"/>
  <c r="D35" i="9"/>
  <c r="L7" i="9"/>
  <c r="D71" i="9" s="1"/>
  <c r="A4" i="12"/>
  <c r="K5" i="12"/>
  <c r="D58" i="9" l="1"/>
  <c r="D30" i="9"/>
  <c r="D12" i="9"/>
  <c r="D59" i="9"/>
  <c r="D74" i="9"/>
  <c r="D28" i="9"/>
  <c r="D4" i="9"/>
  <c r="D72" i="9"/>
  <c r="D18" i="9"/>
  <c r="D9" i="9"/>
  <c r="D56" i="9"/>
  <c r="D70" i="9"/>
  <c r="J9" i="9"/>
  <c r="D25" i="9"/>
  <c r="D20" i="9"/>
  <c r="D26" i="9"/>
  <c r="J10" i="9"/>
  <c r="D24" i="9"/>
  <c r="J11" i="9"/>
  <c r="D23" i="9"/>
  <c r="J6" i="9"/>
  <c r="J12" i="9"/>
  <c r="D22" i="9"/>
  <c r="J13" i="9"/>
  <c r="D21" i="9"/>
  <c r="J8" i="9"/>
  <c r="J7" i="9"/>
  <c r="D27" i="9"/>
  <c r="K25" i="9"/>
  <c r="K28" i="9"/>
  <c r="K24" i="9"/>
  <c r="K27" i="9"/>
  <c r="K23" i="9"/>
  <c r="K19" i="9"/>
  <c r="K22" i="9"/>
  <c r="K26" i="9"/>
  <c r="K18" i="9"/>
  <c r="K29" i="9"/>
  <c r="K21" i="9"/>
  <c r="K20" i="9"/>
  <c r="D11" i="9"/>
  <c r="D73" i="9"/>
  <c r="D19" i="9"/>
  <c r="D10" i="9"/>
  <c r="D57" i="9"/>
  <c r="D34" i="9"/>
  <c r="D17" i="9"/>
  <c r="D8" i="9"/>
  <c r="D55" i="9"/>
  <c r="K30" i="9"/>
  <c r="I35" i="9" s="1"/>
  <c r="D29" i="9"/>
  <c r="D13" i="9"/>
  <c r="D5" i="9"/>
  <c r="D53" i="9"/>
  <c r="D69" i="9"/>
  <c r="L84" i="2"/>
  <c r="G95" i="2"/>
  <c r="G94" i="2"/>
  <c r="G87" i="2"/>
  <c r="G91" i="2"/>
  <c r="C93" i="2"/>
  <c r="H93" i="2"/>
  <c r="H94" i="2"/>
  <c r="C94" i="2" s="1"/>
  <c r="H95" i="2"/>
  <c r="C95" i="2" s="1"/>
  <c r="G93" i="2"/>
  <c r="C92" i="2"/>
  <c r="H92" i="2"/>
  <c r="G92" i="2"/>
  <c r="G90" i="2"/>
  <c r="H90" i="2" s="1"/>
  <c r="C90" i="2" s="1"/>
  <c r="H91" i="2"/>
  <c r="C91" i="2" s="1"/>
  <c r="G89" i="2"/>
  <c r="H89" i="2" s="1"/>
  <c r="C89" i="2" s="1"/>
  <c r="H88" i="2"/>
  <c r="C88" i="2" s="1"/>
  <c r="G88" i="2"/>
  <c r="G86" i="2"/>
  <c r="H86" i="2" s="1"/>
  <c r="C86" i="2" s="1"/>
  <c r="H87" i="2"/>
  <c r="C87" i="2" s="1"/>
  <c r="D29" i="10"/>
  <c r="D30" i="10"/>
  <c r="D31" i="10"/>
  <c r="D32" i="10"/>
  <c r="D33" i="10"/>
  <c r="D34" i="10"/>
  <c r="D35" i="10"/>
  <c r="D28" i="10"/>
  <c r="K32" i="10"/>
  <c r="D5" i="10" s="1"/>
  <c r="K33" i="10"/>
  <c r="D13" i="10" s="1"/>
  <c r="K34" i="10"/>
  <c r="D21" i="10" s="1"/>
  <c r="J26" i="10"/>
  <c r="D52" i="10" s="1"/>
  <c r="J15" i="10"/>
  <c r="J6" i="10"/>
  <c r="J7" i="10"/>
  <c r="J8" i="10"/>
  <c r="J9" i="10"/>
  <c r="J10" i="10"/>
  <c r="J11" i="10"/>
  <c r="J12" i="10"/>
  <c r="J13" i="10"/>
  <c r="D139" i="10" s="1"/>
  <c r="J14" i="10"/>
  <c r="J5" i="10"/>
  <c r="J7" i="11"/>
  <c r="J6" i="11"/>
  <c r="J5" i="11"/>
  <c r="B5" i="11"/>
  <c r="K7" i="11"/>
  <c r="B6" i="11" s="1"/>
  <c r="K6" i="1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D36" i="9" l="1"/>
  <c r="D124" i="9"/>
  <c r="D76" i="9"/>
  <c r="D108" i="9"/>
  <c r="D84" i="9"/>
  <c r="D92" i="9"/>
  <c r="D132" i="9"/>
  <c r="D60" i="9"/>
  <c r="D100" i="9"/>
  <c r="D116" i="9"/>
  <c r="D44" i="9"/>
  <c r="I37" i="9"/>
  <c r="I41" i="9"/>
  <c r="I38" i="9"/>
  <c r="I36" i="9"/>
  <c r="I39" i="9"/>
  <c r="I40" i="9"/>
  <c r="I42" i="9"/>
  <c r="D83" i="10"/>
  <c r="D82" i="10"/>
  <c r="D81" i="10"/>
  <c r="D79" i="10"/>
  <c r="D78" i="10"/>
  <c r="D80" i="10"/>
  <c r="D77" i="10"/>
  <c r="D76" i="10"/>
  <c r="D99" i="10"/>
  <c r="D98" i="10"/>
  <c r="D92" i="10"/>
  <c r="D97" i="10"/>
  <c r="D96" i="10"/>
  <c r="D95" i="10"/>
  <c r="D93" i="10"/>
  <c r="D94" i="10"/>
  <c r="D51" i="10"/>
  <c r="D50" i="10"/>
  <c r="D47" i="10"/>
  <c r="D45" i="10"/>
  <c r="D49" i="10"/>
  <c r="D44" i="10"/>
  <c r="D48" i="10"/>
  <c r="D46" i="10"/>
  <c r="D91" i="10"/>
  <c r="D84" i="10"/>
  <c r="D90" i="10"/>
  <c r="D89" i="10"/>
  <c r="D88" i="10"/>
  <c r="D87" i="10"/>
  <c r="D86" i="10"/>
  <c r="D85" i="10"/>
  <c r="D132" i="10"/>
  <c r="D138" i="10"/>
  <c r="D133" i="10"/>
  <c r="D137" i="10"/>
  <c r="D136" i="10"/>
  <c r="D135" i="10"/>
  <c r="D134" i="10"/>
  <c r="D131" i="10"/>
  <c r="D130" i="10"/>
  <c r="D129" i="10"/>
  <c r="D125" i="10"/>
  <c r="D128" i="10"/>
  <c r="D127" i="10"/>
  <c r="D124" i="10"/>
  <c r="D126" i="10"/>
  <c r="D123" i="10"/>
  <c r="D122" i="10"/>
  <c r="D121" i="10"/>
  <c r="D120" i="10"/>
  <c r="D117" i="10"/>
  <c r="D119" i="10"/>
  <c r="D118" i="10"/>
  <c r="D116" i="10"/>
  <c r="D115" i="10"/>
  <c r="D114" i="10"/>
  <c r="D113" i="10"/>
  <c r="D112" i="10"/>
  <c r="D108" i="10"/>
  <c r="D111" i="10"/>
  <c r="D110" i="10"/>
  <c r="D109" i="10"/>
  <c r="D67" i="10"/>
  <c r="D63" i="10"/>
  <c r="D62" i="10"/>
  <c r="D66" i="10"/>
  <c r="D65" i="10"/>
  <c r="D61" i="10"/>
  <c r="D64" i="10"/>
  <c r="D60" i="10"/>
  <c r="D107" i="10"/>
  <c r="D101" i="10"/>
  <c r="D106" i="10"/>
  <c r="D103" i="10"/>
  <c r="D105" i="10"/>
  <c r="D100" i="10"/>
  <c r="D104" i="10"/>
  <c r="D102" i="10"/>
  <c r="D37" i="10"/>
  <c r="D38" i="10"/>
  <c r="D39" i="10"/>
  <c r="D40" i="10"/>
  <c r="D41" i="10"/>
  <c r="D42" i="10"/>
  <c r="D43" i="10"/>
  <c r="D36" i="10"/>
  <c r="D59" i="10"/>
  <c r="D58" i="10"/>
  <c r="D27" i="10"/>
  <c r="D11" i="10"/>
  <c r="D12" i="10"/>
  <c r="D19" i="10"/>
  <c r="D20" i="10"/>
  <c r="D4" i="10"/>
  <c r="D10" i="10"/>
  <c r="D18" i="10"/>
  <c r="D26" i="10"/>
  <c r="D57" i="10"/>
  <c r="D9" i="10"/>
  <c r="D17" i="10"/>
  <c r="D25" i="10"/>
  <c r="D56" i="10"/>
  <c r="D8" i="10"/>
  <c r="D16" i="10"/>
  <c r="D24" i="10"/>
  <c r="D55" i="10"/>
  <c r="D7" i="10"/>
  <c r="D15" i="10"/>
  <c r="D23" i="10"/>
  <c r="D54" i="10"/>
  <c r="D6" i="10"/>
  <c r="D14" i="10"/>
  <c r="D22" i="10"/>
  <c r="D53" i="10"/>
  <c r="J8" i="11"/>
  <c r="K8" i="11" s="1"/>
  <c r="B7" i="11" s="1"/>
  <c r="J9" i="11"/>
  <c r="K9" i="11" s="1"/>
  <c r="J10" i="11"/>
  <c r="K10" i="11" s="1"/>
  <c r="K5" i="11"/>
  <c r="B4" i="11" s="1"/>
  <c r="D86" i="9" l="1"/>
  <c r="D46" i="9"/>
  <c r="D94" i="9"/>
  <c r="D102" i="9"/>
  <c r="D38" i="9"/>
  <c r="D62" i="9"/>
  <c r="D134" i="9"/>
  <c r="D126" i="9"/>
  <c r="D118" i="9"/>
  <c r="D110" i="9"/>
  <c r="D78" i="9"/>
  <c r="D128" i="9"/>
  <c r="D104" i="9"/>
  <c r="D96" i="9"/>
  <c r="D64" i="9"/>
  <c r="D40" i="9"/>
  <c r="D112" i="9"/>
  <c r="D48" i="9"/>
  <c r="D120" i="9"/>
  <c r="D80" i="9"/>
  <c r="D136" i="9"/>
  <c r="D88" i="9"/>
  <c r="D122" i="9"/>
  <c r="D114" i="9"/>
  <c r="D106" i="9"/>
  <c r="D98" i="9"/>
  <c r="D82" i="9"/>
  <c r="D66" i="9"/>
  <c r="D42" i="9"/>
  <c r="D138" i="9"/>
  <c r="D130" i="9"/>
  <c r="D90" i="9"/>
  <c r="D50" i="9"/>
  <c r="D77" i="9"/>
  <c r="D85" i="9"/>
  <c r="D45" i="9"/>
  <c r="D37" i="9"/>
  <c r="D61" i="9"/>
  <c r="D133" i="9"/>
  <c r="D125" i="9"/>
  <c r="D117" i="9"/>
  <c r="D109" i="9"/>
  <c r="D101" i="9"/>
  <c r="D93" i="9"/>
  <c r="D119" i="9"/>
  <c r="D79" i="9"/>
  <c r="D47" i="9"/>
  <c r="D103" i="9"/>
  <c r="D95" i="9"/>
  <c r="D87" i="9"/>
  <c r="D39" i="9"/>
  <c r="D135" i="9"/>
  <c r="D127" i="9"/>
  <c r="D111" i="9"/>
  <c r="D63" i="9"/>
  <c r="D139" i="9"/>
  <c r="D131" i="9"/>
  <c r="D123" i="9"/>
  <c r="D115" i="9"/>
  <c r="D107" i="9"/>
  <c r="D99" i="9"/>
  <c r="D91" i="9"/>
  <c r="D83" i="9"/>
  <c r="D67" i="9"/>
  <c r="D51" i="9"/>
  <c r="D43" i="9"/>
  <c r="D105" i="9"/>
  <c r="D89" i="9"/>
  <c r="D65" i="9"/>
  <c r="D41" i="9"/>
  <c r="D81" i="9"/>
  <c r="D137" i="9"/>
  <c r="D129" i="9"/>
  <c r="D121" i="9"/>
  <c r="D113" i="9"/>
  <c r="D97" i="9"/>
  <c r="D49" i="9"/>
  <c r="K27" i="10"/>
  <c r="J27" i="10" s="1"/>
  <c r="D70" i="10" l="1"/>
  <c r="D71" i="10"/>
  <c r="D72" i="10"/>
  <c r="D68" i="10"/>
  <c r="H17" i="11" s="1"/>
  <c r="D73" i="10"/>
  <c r="D74" i="10"/>
  <c r="D75" i="10"/>
  <c r="D69" i="10"/>
  <c r="H16" i="11"/>
  <c r="I17" i="11" l="1"/>
  <c r="B9" i="11" s="1"/>
  <c r="I16" i="11"/>
  <c r="B8" i="11" s="1"/>
  <c r="H5" i="2"/>
  <c r="C5" i="2" s="1"/>
  <c r="H6" i="2"/>
  <c r="C6" i="2" s="1"/>
  <c r="H7" i="2"/>
  <c r="C7" i="2" s="1"/>
  <c r="H8" i="2"/>
  <c r="C8" i="2" s="1"/>
  <c r="H9" i="2"/>
  <c r="C9" i="2" s="1"/>
  <c r="H10" i="2"/>
  <c r="C10" i="2" s="1"/>
  <c r="H11" i="2"/>
  <c r="C11" i="2" s="1"/>
  <c r="H12" i="2"/>
  <c r="C12" i="2" s="1"/>
  <c r="H13" i="2"/>
  <c r="C13" i="2" s="1"/>
  <c r="H14" i="2"/>
  <c r="C14" i="2" s="1"/>
  <c r="H15" i="2"/>
  <c r="C15" i="2" s="1"/>
  <c r="H16" i="2"/>
  <c r="C16" i="2" s="1"/>
  <c r="H17" i="2"/>
  <c r="C17" i="2" s="1"/>
  <c r="H18" i="2"/>
  <c r="C18" i="2" s="1"/>
  <c r="H19" i="2"/>
  <c r="C19" i="2" s="1"/>
  <c r="H20" i="2"/>
  <c r="C20" i="2" s="1"/>
  <c r="H21" i="2"/>
  <c r="C21" i="2" s="1"/>
  <c r="H22" i="2"/>
  <c r="C22" i="2" s="1"/>
  <c r="H23" i="2"/>
  <c r="C23" i="2" s="1"/>
  <c r="H24" i="2"/>
  <c r="C24" i="2" s="1"/>
  <c r="H25" i="2"/>
  <c r="C25" i="2" s="1"/>
  <c r="H26" i="2"/>
  <c r="C26" i="2" s="1"/>
  <c r="H27" i="2"/>
  <c r="C27" i="2" s="1"/>
  <c r="H28" i="2"/>
  <c r="C28" i="2" s="1"/>
  <c r="H29" i="2"/>
  <c r="C29" i="2" s="1"/>
  <c r="H30" i="2"/>
  <c r="C30" i="2" s="1"/>
  <c r="H31" i="2"/>
  <c r="C31" i="2" s="1"/>
  <c r="H32" i="2"/>
  <c r="C32" i="2" s="1"/>
  <c r="H33" i="2"/>
  <c r="C33" i="2" s="1"/>
  <c r="H34" i="2"/>
  <c r="C34" i="2" s="1"/>
  <c r="H35" i="2"/>
  <c r="C35" i="2" s="1"/>
  <c r="H36" i="2"/>
  <c r="C36" i="2" s="1"/>
  <c r="H37" i="2"/>
  <c r="C37" i="2" s="1"/>
  <c r="H38" i="2"/>
  <c r="C38" i="2" s="1"/>
  <c r="H39" i="2"/>
  <c r="C39" i="2" s="1"/>
  <c r="H40" i="2"/>
  <c r="C40" i="2" s="1"/>
  <c r="H41" i="2"/>
  <c r="C41" i="2" s="1"/>
  <c r="H42" i="2"/>
  <c r="C42" i="2" s="1"/>
  <c r="H43" i="2"/>
  <c r="C43" i="2" s="1"/>
  <c r="H44" i="2"/>
  <c r="C44" i="2" s="1"/>
  <c r="H45" i="2"/>
  <c r="C45" i="2" s="1"/>
  <c r="H46" i="2"/>
  <c r="C46" i="2" s="1"/>
  <c r="H47" i="2"/>
  <c r="C47" i="2" s="1"/>
  <c r="H48" i="2"/>
  <c r="C48" i="2" s="1"/>
  <c r="H49" i="2"/>
  <c r="C49" i="2" s="1"/>
  <c r="H50" i="2"/>
  <c r="C50" i="2" s="1"/>
  <c r="H51" i="2"/>
  <c r="C51" i="2" s="1"/>
  <c r="H52" i="2"/>
  <c r="C52" i="2" s="1"/>
  <c r="H53" i="2"/>
  <c r="C53" i="2" s="1"/>
  <c r="H54" i="2"/>
  <c r="C54" i="2" s="1"/>
  <c r="H55" i="2"/>
  <c r="C55" i="2" s="1"/>
  <c r="H56" i="2"/>
  <c r="C56" i="2" s="1"/>
  <c r="H57" i="2"/>
  <c r="C57" i="2" s="1"/>
  <c r="H58" i="2"/>
  <c r="C58" i="2" s="1"/>
  <c r="H59" i="2"/>
  <c r="C59" i="2" s="1"/>
  <c r="H60" i="2"/>
  <c r="C60" i="2" s="1"/>
  <c r="H61" i="2"/>
  <c r="C61" i="2" s="1"/>
  <c r="H62" i="2"/>
  <c r="C62" i="2" s="1"/>
  <c r="H63" i="2"/>
  <c r="C63" i="2" s="1"/>
  <c r="H64" i="2"/>
  <c r="C64" i="2" s="1"/>
  <c r="H65" i="2"/>
  <c r="C65" i="2" s="1"/>
  <c r="H66" i="2"/>
  <c r="C66" i="2" s="1"/>
  <c r="H67" i="2"/>
  <c r="C67" i="2" s="1"/>
  <c r="H68" i="2"/>
  <c r="C68" i="2" s="1"/>
  <c r="H69" i="2"/>
  <c r="C69" i="2" s="1"/>
  <c r="H70" i="2"/>
  <c r="C70" i="2" s="1"/>
  <c r="H71" i="2"/>
  <c r="C71" i="2" s="1"/>
  <c r="H72" i="2"/>
  <c r="C72" i="2" s="1"/>
  <c r="H73" i="2"/>
  <c r="C73" i="2" s="1"/>
  <c r="H74" i="2"/>
  <c r="C74" i="2" s="1"/>
  <c r="H75" i="2"/>
  <c r="C75" i="2" s="1"/>
  <c r="H76" i="2"/>
  <c r="C76" i="2" s="1"/>
  <c r="H77" i="2"/>
  <c r="C77" i="2" s="1"/>
  <c r="H78" i="2"/>
  <c r="C78" i="2" s="1"/>
  <c r="H79" i="2"/>
  <c r="C79" i="2" s="1"/>
  <c r="H80" i="2"/>
  <c r="C80" i="2" s="1"/>
  <c r="H81" i="2"/>
  <c r="C81" i="2" s="1"/>
  <c r="H82" i="2"/>
  <c r="C82" i="2" s="1"/>
  <c r="H83" i="2"/>
  <c r="C83" i="2" s="1"/>
  <c r="H84" i="2"/>
  <c r="C84" i="2" s="1"/>
  <c r="H85" i="2"/>
  <c r="C85" i="2" s="1"/>
  <c r="H4" i="2"/>
  <c r="C4" i="2" s="1"/>
  <c r="G4" i="1" l="1"/>
</calcChain>
</file>

<file path=xl/sharedStrings.xml><?xml version="1.0" encoding="utf-8"?>
<sst xmlns="http://schemas.openxmlformats.org/spreadsheetml/2006/main" count="1279" uniqueCount="136">
  <si>
    <t>Austria</t>
  </si>
  <si>
    <t>Belgium</t>
  </si>
  <si>
    <t>Bulgaria</t>
  </si>
  <si>
    <t>Germany</t>
  </si>
  <si>
    <t>Denmark</t>
  </si>
  <si>
    <t>Spain</t>
  </si>
  <si>
    <t>France</t>
  </si>
  <si>
    <t>Croatia</t>
  </si>
  <si>
    <t>Hungary</t>
  </si>
  <si>
    <t>Italy</t>
  </si>
  <si>
    <t>Latvia</t>
  </si>
  <si>
    <t>Netherlands</t>
  </si>
  <si>
    <t>Poland</t>
  </si>
  <si>
    <t>Portugal</t>
  </si>
  <si>
    <t>Romania</t>
  </si>
  <si>
    <t>Slovakia</t>
  </si>
  <si>
    <t>Description: Available underground storage of natural gas (kg) (default: 0)</t>
  </si>
  <si>
    <t>Node</t>
  </si>
  <si>
    <t>Storage (TWh)</t>
  </si>
  <si>
    <t>kg in 1 TWh methane</t>
  </si>
  <si>
    <t>Source: European Commission, 2022: Questions and Answers on the new EU rules on gas storage</t>
  </si>
  <si>
    <t>Source: GGM</t>
  </si>
  <si>
    <t>FromNode</t>
  </si>
  <si>
    <t>ToNode</t>
  </si>
  <si>
    <t>Description: Available natural gas pipeline capacity (kg/h) (default: 0)</t>
  </si>
  <si>
    <t>Slovenia</t>
  </si>
  <si>
    <t>Serbia</t>
  </si>
  <si>
    <t>Greece</t>
  </si>
  <si>
    <t>Switzerland</t>
  </si>
  <si>
    <t>Sweden</t>
  </si>
  <si>
    <t>Estonia</t>
  </si>
  <si>
    <t>Finland</t>
  </si>
  <si>
    <t>Ireland</t>
  </si>
  <si>
    <t>Lithuania</t>
  </si>
  <si>
    <t>NO2</t>
  </si>
  <si>
    <t>NO5</t>
  </si>
  <si>
    <t>Capacity (bcma)</t>
  </si>
  <si>
    <t>Capacity (kg/yr)</t>
  </si>
  <si>
    <t>kg/m^3</t>
  </si>
  <si>
    <t>LNG Import Capacity (kg/hr)</t>
  </si>
  <si>
    <t>LNG Import Capacity (Sm^3/hr)</t>
  </si>
  <si>
    <t>Period</t>
  </si>
  <si>
    <t>LNG Price (€/kg)</t>
  </si>
  <si>
    <t xml:space="preserve">Source: </t>
  </si>
  <si>
    <t>Description: Cost of natural gas terminal (EUR/kg) default: 999999</t>
  </si>
  <si>
    <t>Terminal</t>
  </si>
  <si>
    <t>DomesticProduction</t>
  </si>
  <si>
    <t>LNGImport</t>
  </si>
  <si>
    <t>PipelineImport</t>
  </si>
  <si>
    <t>Czech R</t>
  </si>
  <si>
    <t>Great Brit.</t>
  </si>
  <si>
    <t>Pipeline import capacity (kg/hr)</t>
  </si>
  <si>
    <t>Pipeline import capacity (bcma)</t>
  </si>
  <si>
    <t>Pipeline import source: GGM</t>
  </si>
  <si>
    <t>Reserves (kg)</t>
  </si>
  <si>
    <t>Natural gas density (kg/m3)</t>
  </si>
  <si>
    <t>Libya</t>
  </si>
  <si>
    <t>Algeria</t>
  </si>
  <si>
    <t>Reserves (trillion cubic feet)</t>
  </si>
  <si>
    <t>1 cubic foot in m3</t>
  </si>
  <si>
    <t>Reserves (cubic meters)</t>
  </si>
  <si>
    <t>Pipeline capacity</t>
  </si>
  <si>
    <t>Share of sum of capacity</t>
  </si>
  <si>
    <t>Assume Spain and Italy share Algerian reserves based on pipeline capacity. Also assume 80/20 split between NO5 and NO2 for Norway</t>
  </si>
  <si>
    <t>Scale factor</t>
  </si>
  <si>
    <t>Description: Total available reserves of natural gas (kg) default: 0</t>
  </si>
  <si>
    <t>Storage (ton)</t>
  </si>
  <si>
    <t>Capacity (ton/h)</t>
  </si>
  <si>
    <t>Cost (EUR/ton)</t>
  </si>
  <si>
    <t>Capacity (ton/hr)</t>
  </si>
  <si>
    <t>NO3</t>
  </si>
  <si>
    <t>Source: For Norway: https://www.norskpetroleum.no/fakta/felt/ (accessed 20.04.23). For rest: BP Statistical Review of World Energy 2021 - Natural gas - Total proved reserves. Numbers from at end of 2020.</t>
  </si>
  <si>
    <t>Norwegian Gas Processing Capacity</t>
  </si>
  <si>
    <t>Plant</t>
  </si>
  <si>
    <t>Kårstø</t>
  </si>
  <si>
    <t>Kollsnes</t>
  </si>
  <si>
    <t>Nyhamna</t>
  </si>
  <si>
    <t>Capacity (mill. Sm^3/day)</t>
  </si>
  <si>
    <t>Capacity (tons/hr)</t>
  </si>
  <si>
    <t>Source</t>
  </si>
  <si>
    <t>https://www.gassco.no/en/our-activities/processing-plants/nyhamna-prosessanlegg (accessed 20.04.23)</t>
  </si>
  <si>
    <t>https://www.equinor.com/no/energi/landanlegg (accessed 20.04.23)</t>
  </si>
  <si>
    <t>Reserves (tons)</t>
  </si>
  <si>
    <t>https://www.eia.gov/international/content/analysis/countries_long/United_Kingdom/pdf/uk.pdf</t>
  </si>
  <si>
    <t>cubic feet / m^3</t>
  </si>
  <si>
    <t>Source: Look in Excel sheet</t>
  </si>
  <si>
    <t>Description: Capacity limit of natural gas terminal (ton/hr) default: 0</t>
  </si>
  <si>
    <t>Sleipner</t>
  </si>
  <si>
    <t>Draupner</t>
  </si>
  <si>
    <t>https://www.gassco.no/en/our-activities/pipelines-and-platforms/langeled/</t>
  </si>
  <si>
    <t>https://www.gassco.no/en/our-activities/pipelines-and-platforms/statpipe-dry-gas/</t>
  </si>
  <si>
    <t>https://www.gassco.no/en/our-activities/pipelines-and-platforms/zeepipe/</t>
  </si>
  <si>
    <t>https://www.gassco.no/en/our-activities/pipelines-and-platforms/europipe/ + https://www.gassco.no/en/our-activities/pipelines-and-platforms/norpipe/</t>
  </si>
  <si>
    <t>https://www.gassco.no/hva-gjor-vi/ror-plattformer/franpipe/</t>
  </si>
  <si>
    <t>30 inch pipeline from https://www.gassco.no/en/our-activities/pipelines-and-platforms/zeepipe/, then the capacity of 30 inch pipelines from https://www.regjeringen.no/globalassets/upload/kilde/oed/bro/2004/0006/ddd/pdfv/204688-factsog1504.pdf</t>
  </si>
  <si>
    <t>Source: "About U.S. Natural Gas Pipelines - Transportation Process and Flow", US Energy Information Administration (2008), https://www.eia.gov/naturalgas/archive/analysis_publications/ngpipeline/process.html, accessed 20.04.23</t>
  </si>
  <si>
    <t>Description: Compressor power usage (MWh / ton natural gas)</t>
  </si>
  <si>
    <t>billion cubic feet per day</t>
  </si>
  <si>
    <t>horsepower</t>
  </si>
  <si>
    <t>=</t>
  </si>
  <si>
    <t>MW</t>
  </si>
  <si>
    <t>tonnes / hr</t>
  </si>
  <si>
    <t>Power usage [MWh/ton]</t>
  </si>
  <si>
    <t>Nautral gas LHV</t>
  </si>
  <si>
    <t>MWh/ton</t>
  </si>
  <si>
    <t>Pipeline gas cost</t>
  </si>
  <si>
    <t>EUR/MWh</t>
  </si>
  <si>
    <t>RussianGas</t>
  </si>
  <si>
    <t>LNG Price (€/MWh)</t>
  </si>
  <si>
    <t>LNG Futures 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</si>
  <si>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</si>
  <si>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</si>
  <si>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</si>
  <si>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</si>
  <si>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</si>
  <si>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</si>
  <si>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</si>
  <si>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</si>
  <si>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</si>
  <si>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</si>
  <si>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</si>
  <si>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</si>
  <si>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</si>
  <si>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$/mmbtu</t>
  </si>
  <si>
    <t>$/MWh</t>
  </si>
  <si>
    <t>MWh/mmbtu</t>
  </si>
  <si>
    <t>From https://www.cmegroup.com/markets/energy/natural-gas/lng-north-west-europe-marker-platts.html</t>
  </si>
  <si>
    <t>Accessed 23.05.23</t>
  </si>
  <si>
    <t>LNG source: All planned and operational import terminals in  Gas Infrastructure Europe LNG Import Terminals Map Database, October 2022, https://www.gie.eu/transparency/databases/lng-database/</t>
  </si>
  <si>
    <t>$/kg</t>
  </si>
  <si>
    <t>Natural gas price in Decarbonization scenario for 2016 EU Reference Scenario</t>
  </si>
  <si>
    <t>Perid</t>
  </si>
  <si>
    <t>Price (€/GJ)</t>
  </si>
  <si>
    <t>Scale</t>
  </si>
  <si>
    <r>
      <t xml:space="preserve">LNG Price </t>
    </r>
    <r>
      <rPr>
        <b/>
        <sz val="12"/>
        <color theme="1"/>
        <rFont val="Calibri"/>
        <family val="2"/>
        <scheme val="minor"/>
      </rPr>
      <t>EXPENSIVE</t>
    </r>
    <r>
      <rPr>
        <sz val="12"/>
        <color theme="1"/>
        <rFont val="Calibri"/>
        <family val="2"/>
        <scheme val="minor"/>
      </rPr>
      <t xml:space="preserve"> Source: Average of LNG futures price for 2024, and scaling into the future based on natural gas price development in Decarbonization scenario in European Commission Reference Scenario 2016</t>
    </r>
  </si>
  <si>
    <r>
      <t xml:space="preserve">LNG Price </t>
    </r>
    <r>
      <rPr>
        <b/>
        <sz val="12"/>
        <color theme="1"/>
        <rFont val="Calibri"/>
        <family val="2"/>
        <scheme val="minor"/>
      </rPr>
      <t>CHEAP</t>
    </r>
    <r>
      <rPr>
        <sz val="12"/>
        <color theme="1"/>
        <rFont val="Calibri"/>
        <family val="2"/>
        <scheme val="minor"/>
      </rPr>
      <t xml:space="preserve"> Source: Average of 2010-2019 data from https://www.iea.org/data-and-statistics/charts/lng-import-prices-in-selected-countries-2010-2019 for price in 2020 (period 1). Relative price development based on the Decarbonization scenario in the European Commission Reference Scenario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</si>
</sst>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#,##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quinor.com/no/energi/landanlegg%20(accessed%2020.04.23)" TargetMode="External"/><Relationship Id="rId2" Type="http://schemas.openxmlformats.org/officeDocument/2006/relationships/hyperlink" Target="https://www.equinor.com/no/energi/landanlegg%20(accessed%2020.04.23)" TargetMode="External"/><Relationship Id="rId1" Type="http://schemas.openxmlformats.org/officeDocument/2006/relationships/hyperlink" Target="https://www.gassco.no/en/our-activities/processing-plants/nyhamna-prosessanlegg%20(accessed%2020.04.2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A68C-2FA8-324D-BBFF-C209EB1E3579}">
  <dimension ref="A1:G20"/>
  <sheetViews>
    <sheetView workbookViewId="0"/>
  </sheetViews>
  <sheetFormatPr baseColWidth="10" defaultColWidth="11" defaultRowHeight="16" x14ac:dyDescent="0.2"/>
  <cols>
    <col min="2" max="2" width="11.83203125" bestFit="1" customWidth="1"/>
  </cols>
  <sheetData>
    <row r="1" spans="1:7" x14ac:dyDescent="0.2">
      <c r="A1" t="s">
        <v>20</v>
      </c>
    </row>
    <row r="2" spans="1:7" x14ac:dyDescent="0.2">
      <c r="A2" t="s">
        <v>16</v>
      </c>
    </row>
    <row r="3" spans="1:7" x14ac:dyDescent="0.2">
      <c r="A3" t="s">
        <v>17</v>
      </c>
      <c r="B3" t="s">
        <v>66</v>
      </c>
      <c r="D3" t="s">
        <v>18</v>
      </c>
      <c r="G3" t="s">
        <v>19</v>
      </c>
    </row>
    <row r="4" spans="1:7" x14ac:dyDescent="0.2">
      <c r="A4" t="s">
        <v>0</v>
      </c>
      <c r="B4">
        <f>D4*$G$4/10^3</f>
        <v>6870503.5971223013</v>
      </c>
      <c r="D4">
        <v>95.5</v>
      </c>
      <c r="G4">
        <f>10^9/13.9</f>
        <v>71942446.04316546</v>
      </c>
    </row>
    <row r="5" spans="1:7" x14ac:dyDescent="0.2">
      <c r="A5" t="s">
        <v>1</v>
      </c>
      <c r="B5">
        <f t="shared" ref="B5:B20" si="0">D5*$G$4/10^3</f>
        <v>647482.01438848907</v>
      </c>
      <c r="D5">
        <v>9</v>
      </c>
    </row>
    <row r="6" spans="1:7" x14ac:dyDescent="0.2">
      <c r="A6" t="s">
        <v>2</v>
      </c>
      <c r="B6">
        <f t="shared" si="0"/>
        <v>417266.18705035967</v>
      </c>
      <c r="D6">
        <v>5.8</v>
      </c>
    </row>
    <row r="7" spans="1:7" x14ac:dyDescent="0.2">
      <c r="A7" t="s">
        <v>49</v>
      </c>
      <c r="B7">
        <f t="shared" si="0"/>
        <v>2589928.0575539563</v>
      </c>
      <c r="D7">
        <v>36</v>
      </c>
    </row>
    <row r="8" spans="1:7" x14ac:dyDescent="0.2">
      <c r="A8" t="s">
        <v>3</v>
      </c>
      <c r="B8">
        <f t="shared" si="0"/>
        <v>17647482.01438849</v>
      </c>
      <c r="D8">
        <v>245.3</v>
      </c>
    </row>
    <row r="9" spans="1:7" x14ac:dyDescent="0.2">
      <c r="A9" t="s">
        <v>4</v>
      </c>
      <c r="B9">
        <f t="shared" si="0"/>
        <v>654676.25899280573</v>
      </c>
      <c r="D9">
        <v>9.1</v>
      </c>
    </row>
    <row r="10" spans="1:7" x14ac:dyDescent="0.2">
      <c r="A10" t="s">
        <v>5</v>
      </c>
      <c r="B10">
        <f t="shared" si="0"/>
        <v>2460431.654676259</v>
      </c>
      <c r="D10">
        <v>34.200000000000003</v>
      </c>
    </row>
    <row r="11" spans="1:7" x14ac:dyDescent="0.2">
      <c r="A11" t="s">
        <v>6</v>
      </c>
      <c r="B11">
        <f t="shared" si="0"/>
        <v>9244604.3165467624</v>
      </c>
      <c r="D11">
        <v>128.5</v>
      </c>
    </row>
    <row r="12" spans="1:7" x14ac:dyDescent="0.2">
      <c r="A12" t="s">
        <v>7</v>
      </c>
      <c r="B12">
        <f t="shared" si="0"/>
        <v>374100.71942446043</v>
      </c>
      <c r="D12">
        <v>5.2</v>
      </c>
    </row>
    <row r="13" spans="1:7" x14ac:dyDescent="0.2">
      <c r="A13" t="s">
        <v>8</v>
      </c>
      <c r="B13">
        <f t="shared" si="0"/>
        <v>4834532.3741007196</v>
      </c>
      <c r="D13">
        <v>67.2</v>
      </c>
    </row>
    <row r="14" spans="1:7" x14ac:dyDescent="0.2">
      <c r="A14" t="s">
        <v>9</v>
      </c>
      <c r="B14">
        <f t="shared" si="0"/>
        <v>14223021.58273381</v>
      </c>
      <c r="D14">
        <v>197.7</v>
      </c>
    </row>
    <row r="15" spans="1:7" x14ac:dyDescent="0.2">
      <c r="A15" t="s">
        <v>10</v>
      </c>
      <c r="B15">
        <f t="shared" si="0"/>
        <v>1568345.3237410071</v>
      </c>
      <c r="D15">
        <v>21.8</v>
      </c>
    </row>
    <row r="16" spans="1:7" x14ac:dyDescent="0.2">
      <c r="A16" t="s">
        <v>11</v>
      </c>
      <c r="B16">
        <f t="shared" si="0"/>
        <v>10345323.741007194</v>
      </c>
      <c r="D16">
        <v>143.80000000000001</v>
      </c>
    </row>
    <row r="17" spans="1:4" x14ac:dyDescent="0.2">
      <c r="A17" t="s">
        <v>12</v>
      </c>
      <c r="B17">
        <f t="shared" si="0"/>
        <v>2575539.5683453232</v>
      </c>
      <c r="D17">
        <v>35.799999999999997</v>
      </c>
    </row>
    <row r="18" spans="1:4" x14ac:dyDescent="0.2">
      <c r="A18" t="s">
        <v>13</v>
      </c>
      <c r="B18">
        <f t="shared" si="0"/>
        <v>258992.80575539565</v>
      </c>
      <c r="D18">
        <v>3.6</v>
      </c>
    </row>
    <row r="19" spans="1:4" x14ac:dyDescent="0.2">
      <c r="A19" t="s">
        <v>14</v>
      </c>
      <c r="B19">
        <f t="shared" si="0"/>
        <v>2374100.7194244605</v>
      </c>
      <c r="D19">
        <v>33</v>
      </c>
    </row>
    <row r="20" spans="1:4" x14ac:dyDescent="0.2">
      <c r="A20" t="s">
        <v>15</v>
      </c>
      <c r="B20">
        <f t="shared" si="0"/>
        <v>2784172.6618705033</v>
      </c>
      <c r="D20">
        <v>38.700000000000003</v>
      </c>
    </row>
  </sheetData>
  <autoFilter ref="A3:B20" xr:uid="{F75AA68C-2FA8-324D-BBFF-C209EB1E35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DA3B-FE95-E944-95EA-CEB87EA76039}">
  <dimension ref="A1:L95"/>
  <sheetViews>
    <sheetView workbookViewId="0"/>
  </sheetViews>
  <sheetFormatPr baseColWidth="10" defaultColWidth="11" defaultRowHeight="16" x14ac:dyDescent="0.2"/>
  <cols>
    <col min="3" max="3" width="11" bestFit="1" customWidth="1"/>
    <col min="7" max="7" width="11" bestFit="1" customWidth="1"/>
    <col min="8" max="8" width="13.6640625" bestFit="1" customWidth="1"/>
  </cols>
  <sheetData>
    <row r="1" spans="1:11" x14ac:dyDescent="0.2">
      <c r="A1" t="s">
        <v>21</v>
      </c>
    </row>
    <row r="2" spans="1:11" x14ac:dyDescent="0.2">
      <c r="A2" t="s">
        <v>24</v>
      </c>
    </row>
    <row r="3" spans="1:11" x14ac:dyDescent="0.2">
      <c r="A3" t="s">
        <v>22</v>
      </c>
      <c r="B3" t="s">
        <v>23</v>
      </c>
      <c r="C3" t="s">
        <v>67</v>
      </c>
      <c r="G3" t="s">
        <v>36</v>
      </c>
      <c r="H3" t="s">
        <v>37</v>
      </c>
      <c r="J3" t="s">
        <v>55</v>
      </c>
    </row>
    <row r="4" spans="1:11" x14ac:dyDescent="0.2">
      <c r="A4" t="s">
        <v>0</v>
      </c>
      <c r="B4" t="s">
        <v>49</v>
      </c>
      <c r="C4" s="1">
        <f>H4/(8760*10^3)</f>
        <v>0</v>
      </c>
      <c r="D4" s="1"/>
      <c r="E4" s="1"/>
      <c r="F4" s="1"/>
      <c r="G4" s="1">
        <v>0</v>
      </c>
      <c r="H4" s="1">
        <f t="shared" ref="H4:H35" si="0">G4*$J$4*10^9</f>
        <v>0</v>
      </c>
      <c r="J4">
        <v>0.68</v>
      </c>
      <c r="K4" t="s">
        <v>38</v>
      </c>
    </row>
    <row r="5" spans="1:11" x14ac:dyDescent="0.2">
      <c r="A5" t="s">
        <v>0</v>
      </c>
      <c r="B5" t="s">
        <v>3</v>
      </c>
      <c r="C5" s="1">
        <f t="shared" ref="C5:C67" si="1">H5/(8760*10^3)</f>
        <v>1176.4275023088435</v>
      </c>
      <c r="D5" s="1"/>
      <c r="E5" s="1"/>
      <c r="F5" s="1"/>
      <c r="G5" s="1">
        <v>15.15515429444922</v>
      </c>
      <c r="H5" s="1">
        <f t="shared" si="0"/>
        <v>10305504920.22547</v>
      </c>
    </row>
    <row r="6" spans="1:11" x14ac:dyDescent="0.2">
      <c r="A6" t="s">
        <v>0</v>
      </c>
      <c r="B6" t="s">
        <v>8</v>
      </c>
      <c r="C6" s="1">
        <f t="shared" si="1"/>
        <v>351.1119072640999</v>
      </c>
      <c r="D6" s="1"/>
      <c r="E6" s="1"/>
      <c r="F6" s="1"/>
      <c r="G6" s="1">
        <v>4.5231475112257566</v>
      </c>
      <c r="H6" s="1">
        <f t="shared" si="0"/>
        <v>3075740307.6335149</v>
      </c>
    </row>
    <row r="7" spans="1:11" x14ac:dyDescent="0.2">
      <c r="A7" t="s">
        <v>0</v>
      </c>
      <c r="B7" t="s">
        <v>9</v>
      </c>
      <c r="C7" s="1">
        <f t="shared" si="1"/>
        <v>3098.384623260406</v>
      </c>
      <c r="D7" s="1"/>
      <c r="E7" s="1"/>
      <c r="F7" s="1"/>
      <c r="G7" s="1">
        <v>39.914484264354641</v>
      </c>
      <c r="H7" s="1">
        <f t="shared" si="0"/>
        <v>27141849299.761158</v>
      </c>
    </row>
    <row r="8" spans="1:11" x14ac:dyDescent="0.2">
      <c r="A8" t="s">
        <v>0</v>
      </c>
      <c r="B8" t="s">
        <v>15</v>
      </c>
      <c r="C8" s="1">
        <f t="shared" si="1"/>
        <v>670.01687844336175</v>
      </c>
      <c r="D8" s="1"/>
      <c r="E8" s="1"/>
      <c r="F8" s="1"/>
      <c r="G8" s="1">
        <v>8.6313939046527182</v>
      </c>
      <c r="H8" s="1">
        <f t="shared" si="0"/>
        <v>5869347855.1638489</v>
      </c>
    </row>
    <row r="9" spans="1:11" x14ac:dyDescent="0.2">
      <c r="A9" t="s">
        <v>0</v>
      </c>
      <c r="B9" t="s">
        <v>25</v>
      </c>
      <c r="C9" s="1">
        <f t="shared" si="1"/>
        <v>304.52851820005736</v>
      </c>
      <c r="D9" s="1"/>
      <c r="E9" s="1"/>
      <c r="F9" s="1"/>
      <c r="G9" s="1">
        <v>3.9230438521066207</v>
      </c>
      <c r="H9" s="1">
        <f t="shared" si="0"/>
        <v>2667669819.4325023</v>
      </c>
    </row>
    <row r="10" spans="1:11" x14ac:dyDescent="0.2">
      <c r="A10" t="s">
        <v>1</v>
      </c>
      <c r="B10" t="s">
        <v>3</v>
      </c>
      <c r="C10" s="1">
        <f t="shared" si="1"/>
        <v>847.46935447915666</v>
      </c>
      <c r="D10" s="1"/>
      <c r="E10" s="1"/>
      <c r="F10" s="1"/>
      <c r="G10" s="1">
        <v>10.917399331231488</v>
      </c>
      <c r="H10" s="1">
        <f t="shared" si="0"/>
        <v>7423831545.2374125</v>
      </c>
    </row>
    <row r="11" spans="1:11" x14ac:dyDescent="0.2">
      <c r="A11" t="s">
        <v>1</v>
      </c>
      <c r="B11" t="s">
        <v>6</v>
      </c>
      <c r="C11" s="1">
        <f t="shared" si="1"/>
        <v>2355.0205407471094</v>
      </c>
      <c r="D11" s="1"/>
      <c r="E11" s="1"/>
      <c r="F11" s="1"/>
      <c r="G11" s="1">
        <v>30.338205789624528</v>
      </c>
      <c r="H11" s="1">
        <f t="shared" si="0"/>
        <v>20629979936.944679</v>
      </c>
    </row>
    <row r="12" spans="1:11" x14ac:dyDescent="0.2">
      <c r="A12" t="s">
        <v>1</v>
      </c>
      <c r="B12" t="s">
        <v>50</v>
      </c>
      <c r="C12" s="1">
        <f t="shared" si="1"/>
        <v>2174.739657972676</v>
      </c>
      <c r="D12" s="1"/>
      <c r="E12" s="1"/>
      <c r="F12" s="1"/>
      <c r="G12" s="1">
        <v>28.015763829177413</v>
      </c>
      <c r="H12" s="1">
        <f t="shared" si="0"/>
        <v>19050719403.840641</v>
      </c>
    </row>
    <row r="13" spans="1:11" x14ac:dyDescent="0.2">
      <c r="A13" t="s">
        <v>1</v>
      </c>
      <c r="B13" t="s">
        <v>11</v>
      </c>
      <c r="C13" s="1">
        <f t="shared" si="1"/>
        <v>1064.3610076112225</v>
      </c>
      <c r="D13" s="1"/>
      <c r="E13" s="1"/>
      <c r="F13" s="1"/>
      <c r="G13" s="1">
        <v>13.711474156873983</v>
      </c>
      <c r="H13" s="1">
        <f t="shared" si="0"/>
        <v>9323802426.6743088</v>
      </c>
    </row>
    <row r="14" spans="1:11" x14ac:dyDescent="0.2">
      <c r="A14" t="s">
        <v>2</v>
      </c>
      <c r="B14" t="s">
        <v>27</v>
      </c>
      <c r="C14" s="1">
        <f t="shared" si="1"/>
        <v>294.7836056176555</v>
      </c>
      <c r="D14" s="1"/>
      <c r="E14" s="1"/>
      <c r="F14" s="1"/>
      <c r="G14" s="1">
        <v>3.7975064488392087</v>
      </c>
      <c r="H14" s="1">
        <f t="shared" si="0"/>
        <v>2582304385.2106624</v>
      </c>
    </row>
    <row r="15" spans="1:11" x14ac:dyDescent="0.2">
      <c r="A15" t="s">
        <v>2</v>
      </c>
      <c r="B15" t="s">
        <v>14</v>
      </c>
      <c r="C15" s="1">
        <f t="shared" si="1"/>
        <v>76.822394191267804</v>
      </c>
      <c r="D15" s="1"/>
      <c r="E15" s="1"/>
      <c r="F15" s="1"/>
      <c r="G15" s="1">
        <v>0.98965319575809685</v>
      </c>
      <c r="H15" s="1">
        <f t="shared" si="0"/>
        <v>672964173.11550593</v>
      </c>
    </row>
    <row r="16" spans="1:11" x14ac:dyDescent="0.2">
      <c r="A16" t="s">
        <v>2</v>
      </c>
      <c r="B16" t="s">
        <v>26</v>
      </c>
      <c r="C16" s="1">
        <f t="shared" si="1"/>
        <v>174.87134502923976</v>
      </c>
      <c r="D16" s="1"/>
      <c r="E16" s="1"/>
      <c r="F16" s="1"/>
      <c r="G16" s="1">
        <v>2.252754385964912</v>
      </c>
      <c r="H16" s="1">
        <f t="shared" si="0"/>
        <v>1531872982.4561403</v>
      </c>
    </row>
    <row r="17" spans="1:8" x14ac:dyDescent="0.2">
      <c r="A17" t="s">
        <v>28</v>
      </c>
      <c r="B17" t="s">
        <v>3</v>
      </c>
      <c r="C17" s="1">
        <f t="shared" si="1"/>
        <v>596.49122807017534</v>
      </c>
      <c r="D17" s="1"/>
      <c r="E17" s="1"/>
      <c r="F17" s="1"/>
      <c r="G17" s="1">
        <v>7.6842105263157885</v>
      </c>
      <c r="H17" s="1">
        <f t="shared" si="0"/>
        <v>5225263157.8947363</v>
      </c>
    </row>
    <row r="18" spans="1:8" x14ac:dyDescent="0.2">
      <c r="A18" t="s">
        <v>28</v>
      </c>
      <c r="B18" t="s">
        <v>6</v>
      </c>
      <c r="C18" s="1">
        <f t="shared" si="1"/>
        <v>248.53801169590639</v>
      </c>
      <c r="D18" s="1"/>
      <c r="E18" s="1"/>
      <c r="F18" s="1"/>
      <c r="G18" s="1">
        <v>3.2017543859649118</v>
      </c>
      <c r="H18" s="1">
        <f t="shared" si="0"/>
        <v>2177192982.45614</v>
      </c>
    </row>
    <row r="19" spans="1:8" x14ac:dyDescent="0.2">
      <c r="A19" t="s">
        <v>28</v>
      </c>
      <c r="B19" t="s">
        <v>9</v>
      </c>
      <c r="C19" s="1">
        <f t="shared" si="1"/>
        <v>1685.2318908633481</v>
      </c>
      <c r="D19" s="1"/>
      <c r="E19" s="1"/>
      <c r="F19" s="1"/>
      <c r="G19" s="1">
        <v>21.709752005827834</v>
      </c>
      <c r="H19" s="1">
        <f t="shared" si="0"/>
        <v>14762631363.962929</v>
      </c>
    </row>
    <row r="20" spans="1:8" x14ac:dyDescent="0.2">
      <c r="A20" t="s">
        <v>49</v>
      </c>
      <c r="B20" t="s">
        <v>0</v>
      </c>
      <c r="C20" s="1">
        <f t="shared" si="1"/>
        <v>0</v>
      </c>
      <c r="D20" s="1"/>
      <c r="E20" s="1"/>
      <c r="F20" s="1"/>
      <c r="G20" s="1">
        <v>0</v>
      </c>
      <c r="H20" s="1">
        <f t="shared" si="0"/>
        <v>0</v>
      </c>
    </row>
    <row r="21" spans="1:8" x14ac:dyDescent="0.2">
      <c r="A21" t="s">
        <v>49</v>
      </c>
      <c r="B21" t="s">
        <v>3</v>
      </c>
      <c r="C21" s="1">
        <f t="shared" si="1"/>
        <v>2989.5226537371423</v>
      </c>
      <c r="D21" s="1"/>
      <c r="E21" s="1"/>
      <c r="F21" s="1"/>
      <c r="G21" s="1">
        <v>38.512085951084359</v>
      </c>
      <c r="H21" s="1">
        <f t="shared" si="0"/>
        <v>26188218446.737366</v>
      </c>
    </row>
    <row r="22" spans="1:8" x14ac:dyDescent="0.2">
      <c r="A22" t="s">
        <v>49</v>
      </c>
      <c r="B22" t="s">
        <v>12</v>
      </c>
      <c r="C22" s="1">
        <f t="shared" si="1"/>
        <v>75.793764529792028</v>
      </c>
      <c r="D22" s="1"/>
      <c r="E22" s="1"/>
      <c r="F22" s="1"/>
      <c r="G22" s="1">
        <v>0.97640202541320331</v>
      </c>
      <c r="H22" s="1">
        <f t="shared" si="0"/>
        <v>663953377.2809782</v>
      </c>
    </row>
    <row r="23" spans="1:8" x14ac:dyDescent="0.2">
      <c r="A23" t="s">
        <v>49</v>
      </c>
      <c r="B23" t="s">
        <v>15</v>
      </c>
      <c r="C23" s="1">
        <f t="shared" si="1"/>
        <v>1886.1819687271104</v>
      </c>
      <c r="D23" s="1"/>
      <c r="E23" s="1"/>
      <c r="F23" s="1"/>
      <c r="G23" s="1">
        <v>24.298461832425716</v>
      </c>
      <c r="H23" s="1">
        <f t="shared" si="0"/>
        <v>16522954046.049488</v>
      </c>
    </row>
    <row r="24" spans="1:8" x14ac:dyDescent="0.2">
      <c r="A24" t="s">
        <v>3</v>
      </c>
      <c r="B24" t="s">
        <v>0</v>
      </c>
      <c r="C24" s="1">
        <f t="shared" si="1"/>
        <v>1368.077449762746</v>
      </c>
      <c r="D24" s="1"/>
      <c r="E24" s="1"/>
      <c r="F24" s="1"/>
      <c r="G24" s="1">
        <v>17.624056558708318</v>
      </c>
      <c r="H24" s="1">
        <f t="shared" si="0"/>
        <v>11984358459.921656</v>
      </c>
    </row>
    <row r="25" spans="1:8" x14ac:dyDescent="0.2">
      <c r="A25" t="s">
        <v>3</v>
      </c>
      <c r="B25" t="s">
        <v>1</v>
      </c>
      <c r="C25" s="1">
        <f t="shared" si="1"/>
        <v>1058.1350912391326</v>
      </c>
      <c r="D25" s="1"/>
      <c r="E25" s="1"/>
      <c r="F25" s="1"/>
      <c r="G25" s="1">
        <v>13.631269704786472</v>
      </c>
      <c r="H25" s="1">
        <f t="shared" si="0"/>
        <v>9269263399.2548027</v>
      </c>
    </row>
    <row r="26" spans="1:8" x14ac:dyDescent="0.2">
      <c r="A26" t="s">
        <v>3</v>
      </c>
      <c r="B26" t="s">
        <v>28</v>
      </c>
      <c r="C26" s="1">
        <f t="shared" si="1"/>
        <v>1575.4004649533454</v>
      </c>
      <c r="D26" s="1"/>
      <c r="E26" s="1"/>
      <c r="F26" s="1"/>
      <c r="G26" s="1">
        <v>20.294864813222507</v>
      </c>
      <c r="H26" s="1">
        <f t="shared" si="0"/>
        <v>13800508072.991306</v>
      </c>
    </row>
    <row r="27" spans="1:8" x14ac:dyDescent="0.2">
      <c r="A27" t="s">
        <v>3</v>
      </c>
      <c r="B27" t="s">
        <v>49</v>
      </c>
      <c r="C27" s="1">
        <f t="shared" si="1"/>
        <v>7440.8167524601113</v>
      </c>
      <c r="D27" s="1"/>
      <c r="E27" s="1"/>
      <c r="F27" s="1"/>
      <c r="G27" s="1">
        <v>95.855227575809664</v>
      </c>
      <c r="H27" s="1">
        <f t="shared" si="0"/>
        <v>65181554751.550575</v>
      </c>
    </row>
    <row r="28" spans="1:8" x14ac:dyDescent="0.2">
      <c r="A28" t="s">
        <v>3</v>
      </c>
      <c r="B28" t="s">
        <v>4</v>
      </c>
      <c r="C28" s="1">
        <f t="shared" si="1"/>
        <v>273.84503678226804</v>
      </c>
      <c r="D28" s="1"/>
      <c r="E28" s="1"/>
      <c r="F28" s="1"/>
      <c r="G28" s="1">
        <v>3.5277684150186297</v>
      </c>
      <c r="H28" s="1">
        <f t="shared" si="0"/>
        <v>2398882522.2126679</v>
      </c>
    </row>
    <row r="29" spans="1:8" x14ac:dyDescent="0.2">
      <c r="A29" t="s">
        <v>3</v>
      </c>
      <c r="B29" t="s">
        <v>6</v>
      </c>
      <c r="C29" s="1">
        <f t="shared" si="1"/>
        <v>1562.1636253622498</v>
      </c>
      <c r="D29" s="1"/>
      <c r="E29" s="1"/>
      <c r="F29" s="1"/>
      <c r="G29" s="1">
        <v>20.124343173784276</v>
      </c>
      <c r="H29" s="1">
        <f t="shared" si="0"/>
        <v>13684553358.173309</v>
      </c>
    </row>
    <row r="30" spans="1:8" x14ac:dyDescent="0.2">
      <c r="A30" t="s">
        <v>3</v>
      </c>
      <c r="B30" t="s">
        <v>11</v>
      </c>
      <c r="C30" s="1">
        <f t="shared" si="1"/>
        <v>2522.3326773032709</v>
      </c>
      <c r="D30" s="1"/>
      <c r="E30" s="1"/>
      <c r="F30" s="1"/>
      <c r="G30" s="1">
        <v>32.493579784083309</v>
      </c>
      <c r="H30" s="1">
        <f t="shared" si="0"/>
        <v>22095634253.176651</v>
      </c>
    </row>
    <row r="31" spans="1:8" x14ac:dyDescent="0.2">
      <c r="A31" t="s">
        <v>3</v>
      </c>
      <c r="B31" t="s">
        <v>12</v>
      </c>
      <c r="C31" s="1">
        <f t="shared" si="1"/>
        <v>576.62813286201072</v>
      </c>
      <c r="D31" s="1"/>
      <c r="E31" s="1"/>
      <c r="F31" s="1"/>
      <c r="G31" s="1">
        <v>7.4283271233400194</v>
      </c>
      <c r="H31" s="1">
        <f t="shared" si="0"/>
        <v>5051262443.8712139</v>
      </c>
    </row>
    <row r="32" spans="1:8" x14ac:dyDescent="0.2">
      <c r="A32" t="s">
        <v>4</v>
      </c>
      <c r="B32" t="s">
        <v>3</v>
      </c>
      <c r="C32" s="1">
        <f t="shared" si="1"/>
        <v>246.40552848635394</v>
      </c>
      <c r="D32" s="1"/>
      <c r="E32" s="1"/>
      <c r="F32" s="1"/>
      <c r="G32" s="1">
        <v>3.174282984618324</v>
      </c>
      <c r="H32" s="1">
        <f t="shared" si="0"/>
        <v>2158512429.5404606</v>
      </c>
    </row>
    <row r="33" spans="1:8" x14ac:dyDescent="0.2">
      <c r="A33" t="s">
        <v>4</v>
      </c>
      <c r="B33" t="s">
        <v>11</v>
      </c>
      <c r="C33" s="1">
        <f t="shared" si="1"/>
        <v>1071.9403840642017</v>
      </c>
      <c r="D33" s="1"/>
      <c r="E33" s="1"/>
      <c r="F33" s="1"/>
      <c r="G33" s="1">
        <v>13.809114359415304</v>
      </c>
      <c r="H33" s="1">
        <f t="shared" si="0"/>
        <v>9390197764.4024067</v>
      </c>
    </row>
    <row r="34" spans="1:8" x14ac:dyDescent="0.2">
      <c r="A34" t="s">
        <v>4</v>
      </c>
      <c r="B34" t="s">
        <v>12</v>
      </c>
      <c r="C34" s="1">
        <f t="shared" si="1"/>
        <v>0</v>
      </c>
      <c r="D34" s="1"/>
      <c r="E34" s="1"/>
      <c r="F34" s="1"/>
      <c r="G34" s="1">
        <v>0</v>
      </c>
      <c r="H34" s="1">
        <f t="shared" si="0"/>
        <v>0</v>
      </c>
    </row>
    <row r="35" spans="1:8" x14ac:dyDescent="0.2">
      <c r="A35" t="s">
        <v>4</v>
      </c>
      <c r="B35" t="s">
        <v>29</v>
      </c>
      <c r="C35" s="1">
        <f t="shared" si="1"/>
        <v>238.20897423648933</v>
      </c>
      <c r="D35" s="1"/>
      <c r="E35" s="1"/>
      <c r="F35" s="1"/>
      <c r="G35" s="1">
        <v>3.0686920798700679</v>
      </c>
      <c r="H35" s="1">
        <f t="shared" si="0"/>
        <v>2086710614.3116465</v>
      </c>
    </row>
    <row r="36" spans="1:8" x14ac:dyDescent="0.2">
      <c r="A36" t="s">
        <v>5</v>
      </c>
      <c r="B36" t="s">
        <v>6</v>
      </c>
      <c r="C36" s="1">
        <f t="shared" si="1"/>
        <v>609.05703640011473</v>
      </c>
      <c r="D36" s="1"/>
      <c r="E36" s="1"/>
      <c r="F36" s="1"/>
      <c r="G36" s="1">
        <v>7.8460877042132413</v>
      </c>
      <c r="H36" s="1">
        <f t="shared" ref="H36:H67" si="2">G36*$J$4*10^9</f>
        <v>5335339638.8650045</v>
      </c>
    </row>
    <row r="37" spans="1:8" x14ac:dyDescent="0.2">
      <c r="A37" t="s">
        <v>5</v>
      </c>
      <c r="B37" t="s">
        <v>13</v>
      </c>
      <c r="C37" s="1">
        <f t="shared" si="1"/>
        <v>389.79650329607335</v>
      </c>
      <c r="D37" s="1"/>
      <c r="E37" s="1"/>
      <c r="F37" s="1"/>
      <c r="G37" s="1">
        <v>5.021496130696474</v>
      </c>
      <c r="H37" s="1">
        <f t="shared" si="2"/>
        <v>3414617368.8736024</v>
      </c>
    </row>
    <row r="38" spans="1:8" x14ac:dyDescent="0.2">
      <c r="A38" t="s">
        <v>30</v>
      </c>
      <c r="B38" t="s">
        <v>31</v>
      </c>
      <c r="C38" s="1">
        <f t="shared" si="1"/>
        <v>0</v>
      </c>
      <c r="D38" s="1"/>
      <c r="E38" s="1"/>
      <c r="F38" s="1"/>
      <c r="G38" s="1">
        <v>0</v>
      </c>
      <c r="H38" s="1">
        <f t="shared" si="2"/>
        <v>0</v>
      </c>
    </row>
    <row r="39" spans="1:8" x14ac:dyDescent="0.2">
      <c r="A39" t="s">
        <v>30</v>
      </c>
      <c r="B39" t="s">
        <v>10</v>
      </c>
      <c r="C39" s="1">
        <f t="shared" si="1"/>
        <v>541.3840323556575</v>
      </c>
      <c r="D39" s="1"/>
      <c r="E39" s="1"/>
      <c r="F39" s="1"/>
      <c r="G39" s="1">
        <v>6.9743001815228807</v>
      </c>
      <c r="H39" s="1">
        <f t="shared" si="2"/>
        <v>4742524123.4355593</v>
      </c>
    </row>
    <row r="40" spans="1:8" x14ac:dyDescent="0.2">
      <c r="A40" t="s">
        <v>31</v>
      </c>
      <c r="B40" t="s">
        <v>30</v>
      </c>
      <c r="C40" s="1">
        <f t="shared" si="1"/>
        <v>0</v>
      </c>
      <c r="D40" s="1"/>
      <c r="E40" s="1"/>
      <c r="F40" s="1"/>
      <c r="G40" s="1">
        <v>0</v>
      </c>
      <c r="H40" s="1">
        <f t="shared" si="2"/>
        <v>0</v>
      </c>
    </row>
    <row r="41" spans="1:8" x14ac:dyDescent="0.2">
      <c r="A41" t="s">
        <v>6</v>
      </c>
      <c r="B41" t="s">
        <v>1</v>
      </c>
      <c r="C41" s="1">
        <f t="shared" si="1"/>
        <v>1648.514378522977</v>
      </c>
      <c r="D41" s="1"/>
      <c r="E41" s="1"/>
      <c r="F41" s="1"/>
      <c r="G41" s="1">
        <v>21.236744052737173</v>
      </c>
      <c r="H41" s="1">
        <f t="shared" si="2"/>
        <v>14440985955.861279</v>
      </c>
    </row>
    <row r="42" spans="1:8" x14ac:dyDescent="0.2">
      <c r="A42" t="s">
        <v>6</v>
      </c>
      <c r="B42" t="s">
        <v>28</v>
      </c>
      <c r="C42" s="1">
        <f t="shared" si="1"/>
        <v>704.88201012706588</v>
      </c>
      <c r="D42" s="1"/>
      <c r="E42" s="1"/>
      <c r="F42" s="1"/>
      <c r="G42" s="1">
        <v>9.0805388363427895</v>
      </c>
      <c r="H42" s="1">
        <f t="shared" si="2"/>
        <v>6174766408.7130976</v>
      </c>
    </row>
    <row r="43" spans="1:8" x14ac:dyDescent="0.2">
      <c r="A43" t="s">
        <v>6</v>
      </c>
      <c r="B43" t="s">
        <v>3</v>
      </c>
      <c r="C43" s="1">
        <f t="shared" si="1"/>
        <v>1535.9877073978535</v>
      </c>
      <c r="D43" s="1"/>
      <c r="E43" s="1"/>
      <c r="F43" s="1"/>
      <c r="G43" s="1">
        <v>19.78713576000764</v>
      </c>
      <c r="H43" s="1">
        <f t="shared" si="2"/>
        <v>13455252316.805197</v>
      </c>
    </row>
    <row r="44" spans="1:8" x14ac:dyDescent="0.2">
      <c r="A44" t="s">
        <v>6</v>
      </c>
      <c r="B44" t="s">
        <v>5</v>
      </c>
      <c r="C44" s="1">
        <f t="shared" si="1"/>
        <v>446.64182669341744</v>
      </c>
      <c r="D44" s="1"/>
      <c r="E44" s="1"/>
      <c r="F44" s="1"/>
      <c r="G44" s="1">
        <v>5.7537976497563772</v>
      </c>
      <c r="H44" s="1">
        <f t="shared" si="2"/>
        <v>3912582401.8343368</v>
      </c>
    </row>
    <row r="45" spans="1:8" x14ac:dyDescent="0.2">
      <c r="A45" t="s">
        <v>50</v>
      </c>
      <c r="B45" t="s">
        <v>1</v>
      </c>
      <c r="C45" s="1">
        <f t="shared" si="1"/>
        <v>1705.6303939364986</v>
      </c>
      <c r="D45" s="1"/>
      <c r="E45" s="1"/>
      <c r="F45" s="1"/>
      <c r="G45" s="1">
        <v>21.972532721887834</v>
      </c>
      <c r="H45" s="1">
        <f t="shared" si="2"/>
        <v>14941322250.883728</v>
      </c>
    </row>
    <row r="46" spans="1:8" x14ac:dyDescent="0.2">
      <c r="A46" t="s">
        <v>50</v>
      </c>
      <c r="B46" t="s">
        <v>32</v>
      </c>
      <c r="C46" s="1">
        <f t="shared" si="1"/>
        <v>925.76669532817425</v>
      </c>
      <c r="D46" s="1"/>
      <c r="E46" s="1"/>
      <c r="F46" s="1"/>
      <c r="G46" s="1">
        <v>11.926053310404125</v>
      </c>
      <c r="H46" s="1">
        <f t="shared" si="2"/>
        <v>8109716251.0748062</v>
      </c>
    </row>
    <row r="47" spans="1:8" x14ac:dyDescent="0.2">
      <c r="A47" t="s">
        <v>50</v>
      </c>
      <c r="B47" t="s">
        <v>11</v>
      </c>
      <c r="C47" s="1">
        <f t="shared" si="1"/>
        <v>1555.0444253367725</v>
      </c>
      <c r="D47" s="1"/>
      <c r="E47" s="1"/>
      <c r="F47" s="1"/>
      <c r="G47" s="1">
        <v>20.032631126397245</v>
      </c>
      <c r="H47" s="1">
        <f t="shared" si="2"/>
        <v>13622189165.950127</v>
      </c>
    </row>
    <row r="48" spans="1:8" x14ac:dyDescent="0.2">
      <c r="A48" t="s">
        <v>27</v>
      </c>
      <c r="B48" t="s">
        <v>2</v>
      </c>
      <c r="C48" s="1">
        <f t="shared" si="1"/>
        <v>473.71345029239757</v>
      </c>
      <c r="D48" s="1"/>
      <c r="E48" s="1"/>
      <c r="F48" s="1"/>
      <c r="G48" s="1">
        <v>6.1025438596491215</v>
      </c>
      <c r="H48" s="1">
        <f t="shared" si="2"/>
        <v>4149729824.5614028</v>
      </c>
    </row>
    <row r="49" spans="1:8" x14ac:dyDescent="0.2">
      <c r="A49" t="s">
        <v>27</v>
      </c>
      <c r="B49" t="s">
        <v>9</v>
      </c>
      <c r="C49" s="1">
        <f t="shared" si="1"/>
        <v>0</v>
      </c>
      <c r="D49" s="1"/>
      <c r="E49" s="1"/>
      <c r="F49" s="1"/>
      <c r="G49" s="1">
        <v>0</v>
      </c>
      <c r="H49" s="1">
        <f t="shared" si="2"/>
        <v>0</v>
      </c>
    </row>
    <row r="50" spans="1:8" x14ac:dyDescent="0.2">
      <c r="A50" t="s">
        <v>7</v>
      </c>
      <c r="B50" t="s">
        <v>8</v>
      </c>
      <c r="C50" s="1">
        <f t="shared" si="1"/>
        <v>205.72593229514982</v>
      </c>
      <c r="D50" s="1"/>
      <c r="E50" s="1"/>
      <c r="F50" s="1"/>
      <c r="G50" s="1">
        <v>2.6502340689786945</v>
      </c>
      <c r="H50" s="1">
        <f t="shared" si="2"/>
        <v>1802159166.9055123</v>
      </c>
    </row>
    <row r="51" spans="1:8" x14ac:dyDescent="0.2">
      <c r="A51" t="s">
        <v>7</v>
      </c>
      <c r="B51" t="s">
        <v>25</v>
      </c>
      <c r="C51" s="1">
        <f t="shared" si="1"/>
        <v>402.63157894736833</v>
      </c>
      <c r="D51" s="1"/>
      <c r="E51" s="1"/>
      <c r="F51" s="1"/>
      <c r="G51" s="1">
        <v>5.1868421052631568</v>
      </c>
      <c r="H51" s="1">
        <f t="shared" si="2"/>
        <v>3527052631.5789466</v>
      </c>
    </row>
    <row r="52" spans="1:8" x14ac:dyDescent="0.2">
      <c r="A52" t="s">
        <v>8</v>
      </c>
      <c r="B52" t="s">
        <v>0</v>
      </c>
      <c r="C52" s="1">
        <f t="shared" si="1"/>
        <v>0</v>
      </c>
      <c r="D52" s="1"/>
      <c r="E52" s="1"/>
      <c r="F52" s="1"/>
      <c r="G52" s="1">
        <v>0</v>
      </c>
      <c r="H52" s="1">
        <f t="shared" si="2"/>
        <v>0</v>
      </c>
    </row>
    <row r="53" spans="1:8" x14ac:dyDescent="0.2">
      <c r="A53" t="s">
        <v>8</v>
      </c>
      <c r="B53" t="s">
        <v>7</v>
      </c>
      <c r="C53" s="1">
        <f t="shared" si="1"/>
        <v>207.62077640839468</v>
      </c>
      <c r="D53" s="1"/>
      <c r="E53" s="1"/>
      <c r="F53" s="1"/>
      <c r="G53" s="1">
        <v>2.6746441196140252</v>
      </c>
      <c r="H53" s="1">
        <f t="shared" si="2"/>
        <v>1818758001.3375373</v>
      </c>
    </row>
    <row r="54" spans="1:8" x14ac:dyDescent="0.2">
      <c r="A54" t="s">
        <v>8</v>
      </c>
      <c r="B54" t="s">
        <v>14</v>
      </c>
      <c r="C54" s="1">
        <f t="shared" si="1"/>
        <v>139.67708034775961</v>
      </c>
      <c r="D54" s="1"/>
      <c r="E54" s="1"/>
      <c r="F54" s="1"/>
      <c r="G54" s="1">
        <v>1.7993694468329031</v>
      </c>
      <c r="H54" s="1">
        <f t="shared" si="2"/>
        <v>1223571223.8463743</v>
      </c>
    </row>
    <row r="55" spans="1:8" x14ac:dyDescent="0.2">
      <c r="A55" t="s">
        <v>8</v>
      </c>
      <c r="B55" t="s">
        <v>26</v>
      </c>
      <c r="C55" s="1">
        <f t="shared" si="1"/>
        <v>384.55861278303229</v>
      </c>
      <c r="D55" s="1"/>
      <c r="E55" s="1"/>
      <c r="F55" s="1"/>
      <c r="G55" s="1">
        <v>4.9540197764402398</v>
      </c>
      <c r="H55" s="1">
        <f t="shared" si="2"/>
        <v>3368733447.979363</v>
      </c>
    </row>
    <row r="56" spans="1:8" x14ac:dyDescent="0.2">
      <c r="A56" t="s">
        <v>8</v>
      </c>
      <c r="B56" t="s">
        <v>25</v>
      </c>
      <c r="C56" s="1">
        <f t="shared" si="1"/>
        <v>0</v>
      </c>
      <c r="D56" s="1"/>
      <c r="E56" s="1"/>
      <c r="F56" s="1"/>
      <c r="G56" s="1">
        <v>0</v>
      </c>
      <c r="H56" s="1">
        <f t="shared" si="2"/>
        <v>0</v>
      </c>
    </row>
    <row r="57" spans="1:8" x14ac:dyDescent="0.2">
      <c r="A57" t="s">
        <v>32</v>
      </c>
      <c r="B57" t="s">
        <v>50</v>
      </c>
      <c r="C57" s="1">
        <f t="shared" si="1"/>
        <v>1166.6825897264418</v>
      </c>
      <c r="D57" s="1"/>
      <c r="E57" s="1"/>
      <c r="F57" s="1"/>
      <c r="G57" s="1">
        <v>15.029616891181806</v>
      </c>
      <c r="H57" s="1">
        <f t="shared" si="2"/>
        <v>10220139486.00363</v>
      </c>
    </row>
    <row r="58" spans="1:8" x14ac:dyDescent="0.2">
      <c r="A58" t="s">
        <v>9</v>
      </c>
      <c r="B58" t="s">
        <v>0</v>
      </c>
      <c r="C58" s="1">
        <f t="shared" si="1"/>
        <v>3609.9925338365024</v>
      </c>
      <c r="D58" s="1"/>
      <c r="E58" s="1"/>
      <c r="F58" s="1"/>
      <c r="G58" s="1">
        <v>46.505197935893761</v>
      </c>
      <c r="H58" s="1">
        <f t="shared" si="2"/>
        <v>31623534596.407761</v>
      </c>
    </row>
    <row r="59" spans="1:8" x14ac:dyDescent="0.2">
      <c r="A59" t="s">
        <v>9</v>
      </c>
      <c r="B59" t="s">
        <v>28</v>
      </c>
      <c r="C59" s="1">
        <f t="shared" si="1"/>
        <v>2693.9269450017514</v>
      </c>
      <c r="D59" s="1"/>
      <c r="E59" s="1"/>
      <c r="F59" s="1"/>
      <c r="G59" s="1">
        <v>34.704117703257857</v>
      </c>
      <c r="H59" s="1">
        <f t="shared" si="2"/>
        <v>23598800038.215343</v>
      </c>
    </row>
    <row r="60" spans="1:8" x14ac:dyDescent="0.2">
      <c r="A60" t="s">
        <v>9</v>
      </c>
      <c r="B60" t="s">
        <v>25</v>
      </c>
      <c r="C60" s="1">
        <f t="shared" si="1"/>
        <v>76.605840578325541</v>
      </c>
      <c r="D60" s="1"/>
      <c r="E60" s="1"/>
      <c r="F60" s="1"/>
      <c r="G60" s="1">
        <v>0.98686347568548771</v>
      </c>
      <c r="H60" s="1">
        <f t="shared" si="2"/>
        <v>671067163.46613169</v>
      </c>
    </row>
    <row r="61" spans="1:8" x14ac:dyDescent="0.2">
      <c r="A61" t="s">
        <v>33</v>
      </c>
      <c r="B61" t="s">
        <v>10</v>
      </c>
      <c r="C61" s="1">
        <f t="shared" si="1"/>
        <v>182.4464189038566</v>
      </c>
      <c r="D61" s="1"/>
      <c r="E61" s="1"/>
      <c r="F61" s="1"/>
      <c r="G61" s="1">
        <v>2.3503391611732112</v>
      </c>
      <c r="H61" s="1">
        <f t="shared" si="2"/>
        <v>1598230629.5977838</v>
      </c>
    </row>
    <row r="62" spans="1:8" x14ac:dyDescent="0.2">
      <c r="A62" t="s">
        <v>33</v>
      </c>
      <c r="B62" t="s">
        <v>12</v>
      </c>
      <c r="C62" s="1">
        <f t="shared" si="1"/>
        <v>0</v>
      </c>
      <c r="D62" s="1"/>
      <c r="E62" s="1"/>
      <c r="F62" s="1"/>
      <c r="G62" s="1">
        <v>0</v>
      </c>
      <c r="H62" s="1">
        <f t="shared" si="2"/>
        <v>0</v>
      </c>
    </row>
    <row r="63" spans="1:8" x14ac:dyDescent="0.2">
      <c r="A63" t="s">
        <v>10</v>
      </c>
      <c r="B63" t="s">
        <v>30</v>
      </c>
      <c r="C63" s="1">
        <f t="shared" si="1"/>
        <v>495.36638960542655</v>
      </c>
      <c r="D63" s="1"/>
      <c r="E63" s="1"/>
      <c r="F63" s="1"/>
      <c r="G63" s="1">
        <v>6.3814846660934359</v>
      </c>
      <c r="H63" s="1">
        <f t="shared" si="2"/>
        <v>4339409572.9435368</v>
      </c>
    </row>
    <row r="64" spans="1:8" x14ac:dyDescent="0.2">
      <c r="A64" t="s">
        <v>10</v>
      </c>
      <c r="B64" t="s">
        <v>33</v>
      </c>
      <c r="C64" s="1">
        <f t="shared" si="1"/>
        <v>175.94981051558864</v>
      </c>
      <c r="D64" s="1"/>
      <c r="E64" s="1"/>
      <c r="F64" s="1"/>
      <c r="G64" s="1">
        <v>2.266647558994936</v>
      </c>
      <c r="H64" s="1">
        <f t="shared" si="2"/>
        <v>1541320340.1165564</v>
      </c>
    </row>
    <row r="65" spans="1:8" x14ac:dyDescent="0.2">
      <c r="A65" t="s">
        <v>11</v>
      </c>
      <c r="B65" t="s">
        <v>1</v>
      </c>
      <c r="C65" s="1">
        <f t="shared" si="1"/>
        <v>2159.8515970828953</v>
      </c>
      <c r="D65" s="1"/>
      <c r="E65" s="1"/>
      <c r="F65" s="1"/>
      <c r="G65" s="1">
        <v>27.823970574185534</v>
      </c>
      <c r="H65" s="1">
        <f t="shared" si="2"/>
        <v>18920299990.446163</v>
      </c>
    </row>
    <row r="66" spans="1:8" x14ac:dyDescent="0.2">
      <c r="A66" t="s">
        <v>11</v>
      </c>
      <c r="B66" t="s">
        <v>3</v>
      </c>
      <c r="C66" s="1">
        <f t="shared" si="1"/>
        <v>4989.5948748447499</v>
      </c>
      <c r="D66" s="1"/>
      <c r="E66" s="1"/>
      <c r="F66" s="1"/>
      <c r="G66" s="1">
        <v>64.2777222112353</v>
      </c>
      <c r="H66" s="1">
        <f t="shared" si="2"/>
        <v>43708851103.640007</v>
      </c>
    </row>
    <row r="67" spans="1:8" x14ac:dyDescent="0.2">
      <c r="A67" t="s">
        <v>11</v>
      </c>
      <c r="B67" t="s">
        <v>50</v>
      </c>
      <c r="C67" s="1">
        <f t="shared" si="1"/>
        <v>1337.2185599184738</v>
      </c>
      <c r="D67" s="1"/>
      <c r="E67" s="1"/>
      <c r="F67" s="1"/>
      <c r="G67" s="1">
        <v>17.226521448361513</v>
      </c>
      <c r="H67" s="1">
        <f t="shared" si="2"/>
        <v>11714034584.88583</v>
      </c>
    </row>
    <row r="68" spans="1:8" x14ac:dyDescent="0.2">
      <c r="A68" t="s">
        <v>34</v>
      </c>
      <c r="B68" t="s">
        <v>3</v>
      </c>
      <c r="C68" s="1">
        <f t="shared" ref="C68:C85" si="3">H68/(8760*10^3)</f>
        <v>1863.013698630137</v>
      </c>
      <c r="D68" s="1"/>
      <c r="E68" s="1"/>
      <c r="F68" s="1"/>
      <c r="G68" s="1">
        <v>24</v>
      </c>
      <c r="H68" s="1">
        <f t="shared" ref="H68:H85" si="4">G68*$J$4*10^9</f>
        <v>16320000000</v>
      </c>
    </row>
    <row r="69" spans="1:8" x14ac:dyDescent="0.2">
      <c r="A69" t="s">
        <v>12</v>
      </c>
      <c r="B69" t="s">
        <v>49</v>
      </c>
      <c r="C69" s="1">
        <f t="shared" si="3"/>
        <v>0</v>
      </c>
      <c r="D69" s="1"/>
      <c r="E69" s="1"/>
      <c r="F69" s="1"/>
      <c r="G69" s="1">
        <v>0</v>
      </c>
      <c r="H69" s="1">
        <f t="shared" si="4"/>
        <v>0</v>
      </c>
    </row>
    <row r="70" spans="1:8" x14ac:dyDescent="0.2">
      <c r="A70" t="s">
        <v>12</v>
      </c>
      <c r="B70" t="s">
        <v>3</v>
      </c>
      <c r="C70" s="1">
        <f t="shared" si="3"/>
        <v>2520.2509474220565</v>
      </c>
      <c r="D70" s="1"/>
      <c r="E70" s="1"/>
      <c r="F70" s="1"/>
      <c r="G70" s="1">
        <v>32.466762205025312</v>
      </c>
      <c r="H70" s="1">
        <f t="shared" si="4"/>
        <v>22077398299.417213</v>
      </c>
    </row>
    <row r="71" spans="1:8" x14ac:dyDescent="0.2">
      <c r="A71" t="s">
        <v>12</v>
      </c>
      <c r="B71" t="s">
        <v>4</v>
      </c>
      <c r="C71" s="1">
        <f t="shared" si="3"/>
        <v>0</v>
      </c>
      <c r="D71" s="1"/>
      <c r="E71" s="1"/>
      <c r="F71" s="1"/>
      <c r="G71" s="1">
        <v>0</v>
      </c>
      <c r="H71" s="1">
        <f t="shared" si="4"/>
        <v>0</v>
      </c>
    </row>
    <row r="72" spans="1:8" x14ac:dyDescent="0.2">
      <c r="A72" t="s">
        <v>12</v>
      </c>
      <c r="B72" t="s">
        <v>33</v>
      </c>
      <c r="C72" s="1">
        <f t="shared" si="3"/>
        <v>0</v>
      </c>
      <c r="D72" s="1"/>
      <c r="E72" s="1"/>
      <c r="F72" s="1"/>
      <c r="G72" s="1">
        <v>0</v>
      </c>
      <c r="H72" s="1">
        <f t="shared" si="4"/>
        <v>0</v>
      </c>
    </row>
    <row r="73" spans="1:8" x14ac:dyDescent="0.2">
      <c r="A73" t="s">
        <v>12</v>
      </c>
      <c r="B73" t="s">
        <v>15</v>
      </c>
      <c r="C73" s="1">
        <f t="shared" si="3"/>
        <v>0</v>
      </c>
      <c r="D73" s="1"/>
      <c r="E73" s="1"/>
      <c r="F73" s="1"/>
      <c r="G73" s="1">
        <v>0</v>
      </c>
      <c r="H73" s="1">
        <f t="shared" si="4"/>
        <v>0</v>
      </c>
    </row>
    <row r="74" spans="1:8" x14ac:dyDescent="0.2">
      <c r="A74" t="s">
        <v>13</v>
      </c>
      <c r="B74" t="s">
        <v>5</v>
      </c>
      <c r="C74" s="1">
        <f t="shared" si="3"/>
        <v>216.55361294226302</v>
      </c>
      <c r="D74" s="1"/>
      <c r="E74" s="1"/>
      <c r="F74" s="1"/>
      <c r="G74" s="1">
        <v>2.7897200726091524</v>
      </c>
      <c r="H74" s="1">
        <f t="shared" si="4"/>
        <v>1897009649.3742239</v>
      </c>
    </row>
    <row r="75" spans="1:8" x14ac:dyDescent="0.2">
      <c r="A75" t="s">
        <v>14</v>
      </c>
      <c r="B75" t="s">
        <v>2</v>
      </c>
      <c r="C75" s="1">
        <f t="shared" si="3"/>
        <v>2011.4582338142095</v>
      </c>
      <c r="D75" s="1"/>
      <c r="E75" s="1"/>
      <c r="F75" s="1"/>
      <c r="G75" s="1">
        <v>25.912314894430111</v>
      </c>
      <c r="H75" s="1">
        <f t="shared" si="4"/>
        <v>17620374128.212475</v>
      </c>
    </row>
    <row r="76" spans="1:8" x14ac:dyDescent="0.2">
      <c r="A76" t="s">
        <v>14</v>
      </c>
      <c r="B76" t="s">
        <v>8</v>
      </c>
      <c r="C76" s="1">
        <f t="shared" si="3"/>
        <v>6.7673004044457192</v>
      </c>
      <c r="D76" s="1"/>
      <c r="E76" s="1"/>
      <c r="F76" s="1"/>
      <c r="G76" s="1">
        <v>8.7178752269036014E-2</v>
      </c>
      <c r="H76" s="1">
        <f t="shared" si="4"/>
        <v>59281551.542944498</v>
      </c>
    </row>
    <row r="77" spans="1:8" x14ac:dyDescent="0.2">
      <c r="A77" t="s">
        <v>26</v>
      </c>
      <c r="B77" t="s">
        <v>2</v>
      </c>
      <c r="C77" s="1">
        <f t="shared" si="3"/>
        <v>0</v>
      </c>
      <c r="D77" s="1"/>
      <c r="E77" s="1"/>
      <c r="F77" s="1"/>
      <c r="G77" s="1">
        <v>0</v>
      </c>
      <c r="H77" s="1">
        <f t="shared" si="4"/>
        <v>0</v>
      </c>
    </row>
    <row r="78" spans="1:8" x14ac:dyDescent="0.2">
      <c r="A78" t="s">
        <v>15</v>
      </c>
      <c r="B78" t="s">
        <v>0</v>
      </c>
      <c r="C78" s="1">
        <f t="shared" si="3"/>
        <v>4166.4915130091404</v>
      </c>
      <c r="D78" s="1"/>
      <c r="E78" s="1"/>
      <c r="F78" s="1"/>
      <c r="G78" s="1">
        <v>53.674214197000097</v>
      </c>
      <c r="H78" s="1">
        <f t="shared" si="4"/>
        <v>36498465653.960068</v>
      </c>
    </row>
    <row r="79" spans="1:8" x14ac:dyDescent="0.2">
      <c r="A79" t="s">
        <v>15</v>
      </c>
      <c r="B79" t="s">
        <v>49</v>
      </c>
      <c r="C79" s="1">
        <f t="shared" si="3"/>
        <v>1407.5984841247091</v>
      </c>
      <c r="D79" s="1"/>
      <c r="E79" s="1"/>
      <c r="F79" s="1"/>
      <c r="G79" s="1">
        <v>18.133180471959488</v>
      </c>
      <c r="H79" s="1">
        <f t="shared" si="4"/>
        <v>12330562720.932451</v>
      </c>
    </row>
    <row r="80" spans="1:8" x14ac:dyDescent="0.2">
      <c r="A80" t="s">
        <v>15</v>
      </c>
      <c r="B80" t="s">
        <v>8</v>
      </c>
      <c r="C80" s="1">
        <f t="shared" si="3"/>
        <v>343.68411834018025</v>
      </c>
      <c r="D80" s="1"/>
      <c r="E80" s="1"/>
      <c r="F80" s="1"/>
      <c r="G80" s="1">
        <v>4.4274601127352629</v>
      </c>
      <c r="H80" s="1">
        <f t="shared" si="4"/>
        <v>3010672876.6599789</v>
      </c>
    </row>
    <row r="81" spans="1:12" x14ac:dyDescent="0.2">
      <c r="A81" t="s">
        <v>15</v>
      </c>
      <c r="B81" t="s">
        <v>12</v>
      </c>
      <c r="C81" s="1">
        <f t="shared" si="3"/>
        <v>0</v>
      </c>
      <c r="D81" s="1"/>
      <c r="E81" s="1"/>
      <c r="F81" s="1"/>
      <c r="G81" s="1">
        <v>0</v>
      </c>
      <c r="H81" s="1">
        <f t="shared" si="4"/>
        <v>0</v>
      </c>
    </row>
    <row r="82" spans="1:12" x14ac:dyDescent="0.2">
      <c r="A82" t="s">
        <v>25</v>
      </c>
      <c r="B82" t="s">
        <v>0</v>
      </c>
      <c r="C82" s="1">
        <f t="shared" si="3"/>
        <v>305.88197828094644</v>
      </c>
      <c r="D82" s="1"/>
      <c r="E82" s="1"/>
      <c r="F82" s="1"/>
      <c r="G82" s="1">
        <v>3.9404796025604276</v>
      </c>
      <c r="H82" s="1">
        <f t="shared" si="4"/>
        <v>2679526129.7410908</v>
      </c>
    </row>
    <row r="83" spans="1:12" x14ac:dyDescent="0.2">
      <c r="A83" t="s">
        <v>25</v>
      </c>
      <c r="B83" t="s">
        <v>7</v>
      </c>
      <c r="C83" s="1">
        <f t="shared" si="3"/>
        <v>583.88267889557653</v>
      </c>
      <c r="D83" s="1"/>
      <c r="E83" s="1"/>
      <c r="F83" s="1"/>
      <c r="G83" s="1">
        <v>7.5217827457724269</v>
      </c>
      <c r="H83" s="1">
        <f t="shared" si="4"/>
        <v>5114812267.1252508</v>
      </c>
    </row>
    <row r="84" spans="1:12" x14ac:dyDescent="0.2">
      <c r="A84" t="s">
        <v>25</v>
      </c>
      <c r="B84" t="s">
        <v>8</v>
      </c>
      <c r="C84" s="1">
        <f t="shared" si="3"/>
        <v>0</v>
      </c>
      <c r="D84" s="1"/>
      <c r="E84" s="1"/>
      <c r="F84" s="1"/>
      <c r="G84" s="1">
        <v>0</v>
      </c>
      <c r="H84" s="1">
        <f t="shared" si="4"/>
        <v>0</v>
      </c>
      <c r="K84">
        <v>35.314700000000002</v>
      </c>
      <c r="L84">
        <f>K84*G86/365</f>
        <v>2.5426584000000001</v>
      </c>
    </row>
    <row r="85" spans="1:12" x14ac:dyDescent="0.2">
      <c r="A85" t="s">
        <v>25</v>
      </c>
      <c r="B85" t="s">
        <v>9</v>
      </c>
      <c r="C85" s="1">
        <f t="shared" si="3"/>
        <v>133.70749578038914</v>
      </c>
      <c r="D85" s="1"/>
      <c r="E85" s="1"/>
      <c r="F85" s="1"/>
      <c r="G85" s="1">
        <v>1.7224671515238366</v>
      </c>
      <c r="H85" s="1">
        <f t="shared" si="4"/>
        <v>1171277663.0362089</v>
      </c>
    </row>
    <row r="86" spans="1:12" x14ac:dyDescent="0.2">
      <c r="A86" t="s">
        <v>70</v>
      </c>
      <c r="B86" t="s">
        <v>87</v>
      </c>
      <c r="C86" s="1">
        <f t="shared" ref="C86:C95" si="5">H86/(8760*10^3)</f>
        <v>2040.0000000000005</v>
      </c>
      <c r="G86">
        <f>72*365/1000</f>
        <v>26.28</v>
      </c>
      <c r="H86" s="1">
        <f t="shared" ref="H86:H89" si="6">G86*$J$4*10^9</f>
        <v>17870400000.000004</v>
      </c>
      <c r="I86" t="s">
        <v>89</v>
      </c>
    </row>
    <row r="87" spans="1:12" x14ac:dyDescent="0.2">
      <c r="A87" t="s">
        <v>35</v>
      </c>
      <c r="B87" t="s">
        <v>87</v>
      </c>
      <c r="C87" s="1">
        <f t="shared" si="5"/>
        <v>2096.6666666666665</v>
      </c>
      <c r="G87">
        <f>74*365/1000</f>
        <v>27.01</v>
      </c>
      <c r="H87" s="1">
        <f t="shared" si="6"/>
        <v>18366800000</v>
      </c>
      <c r="I87" t="s">
        <v>91</v>
      </c>
    </row>
    <row r="88" spans="1:12" x14ac:dyDescent="0.2">
      <c r="A88" t="s">
        <v>87</v>
      </c>
      <c r="B88" t="s">
        <v>50</v>
      </c>
      <c r="C88" s="1">
        <f t="shared" si="5"/>
        <v>2125.0000000000005</v>
      </c>
      <c r="G88">
        <f>75*365/1000</f>
        <v>27.375</v>
      </c>
      <c r="H88" s="1">
        <f t="shared" si="6"/>
        <v>18615000000.000004</v>
      </c>
      <c r="I88" t="s">
        <v>89</v>
      </c>
    </row>
    <row r="89" spans="1:12" x14ac:dyDescent="0.2">
      <c r="A89" t="s">
        <v>87</v>
      </c>
      <c r="B89" t="s">
        <v>1</v>
      </c>
      <c r="C89" s="1">
        <f t="shared" si="5"/>
        <v>1190</v>
      </c>
      <c r="G89">
        <f>42*365/1000</f>
        <v>15.33</v>
      </c>
      <c r="H89" s="1">
        <f t="shared" si="6"/>
        <v>10424400000</v>
      </c>
      <c r="I89" t="s">
        <v>91</v>
      </c>
    </row>
    <row r="90" spans="1:12" x14ac:dyDescent="0.2">
      <c r="A90" t="s">
        <v>34</v>
      </c>
      <c r="B90" t="s">
        <v>88</v>
      </c>
      <c r="C90" s="1">
        <f t="shared" si="5"/>
        <v>1473.3333333333335</v>
      </c>
      <c r="G90">
        <f>(31+21)*365/1000</f>
        <v>18.98</v>
      </c>
      <c r="H90" s="1">
        <f t="shared" ref="H90" si="7">G90*$J$4*10^9</f>
        <v>12906400000.000002</v>
      </c>
      <c r="I90" t="s">
        <v>90</v>
      </c>
    </row>
    <row r="91" spans="1:12" x14ac:dyDescent="0.2">
      <c r="A91" t="s">
        <v>35</v>
      </c>
      <c r="B91" t="s">
        <v>88</v>
      </c>
      <c r="C91" s="1">
        <f t="shared" si="5"/>
        <v>2068.3333333333335</v>
      </c>
      <c r="G91">
        <f>73*365/1000</f>
        <v>26.645</v>
      </c>
      <c r="H91" s="1">
        <f t="shared" ref="H91:H95" si="8">G91*$J$4*10^9</f>
        <v>18118600000</v>
      </c>
      <c r="I91" t="s">
        <v>91</v>
      </c>
    </row>
    <row r="92" spans="1:12" x14ac:dyDescent="0.2">
      <c r="A92" t="s">
        <v>88</v>
      </c>
      <c r="B92" t="s">
        <v>3</v>
      </c>
      <c r="C92" s="1">
        <f t="shared" si="5"/>
        <v>2181.666666666667</v>
      </c>
      <c r="G92">
        <f>(45+32)*365/1000</f>
        <v>28.105</v>
      </c>
      <c r="H92" s="1">
        <f t="shared" si="8"/>
        <v>19111400000.000004</v>
      </c>
      <c r="I92" t="s">
        <v>92</v>
      </c>
    </row>
    <row r="93" spans="1:12" x14ac:dyDescent="0.2">
      <c r="A93" t="s">
        <v>88</v>
      </c>
      <c r="B93" t="s">
        <v>6</v>
      </c>
      <c r="C93" s="1">
        <f t="shared" si="5"/>
        <v>1558.3333333333333</v>
      </c>
      <c r="G93">
        <f>55*365/1000</f>
        <v>20.074999999999999</v>
      </c>
      <c r="H93" s="1">
        <f t="shared" si="8"/>
        <v>13651000000</v>
      </c>
      <c r="I93" t="s">
        <v>93</v>
      </c>
    </row>
    <row r="94" spans="1:12" x14ac:dyDescent="0.2">
      <c r="A94" t="s">
        <v>87</v>
      </c>
      <c r="B94" t="s">
        <v>88</v>
      </c>
      <c r="C94" s="1">
        <f t="shared" si="5"/>
        <v>708.33333333333337</v>
      </c>
      <c r="G94">
        <f>25*365/1000</f>
        <v>9.125</v>
      </c>
      <c r="H94" s="1">
        <f t="shared" si="8"/>
        <v>6205000000</v>
      </c>
      <c r="I94" t="s">
        <v>94</v>
      </c>
    </row>
    <row r="95" spans="1:12" x14ac:dyDescent="0.2">
      <c r="A95" t="s">
        <v>88</v>
      </c>
      <c r="B95" t="s">
        <v>87</v>
      </c>
      <c r="C95" s="1">
        <f t="shared" si="5"/>
        <v>708.33333333333337</v>
      </c>
      <c r="G95">
        <f>25*365/1000</f>
        <v>9.125</v>
      </c>
      <c r="H95" s="1">
        <f t="shared" si="8"/>
        <v>6205000000</v>
      </c>
    </row>
  </sheetData>
  <autoFilter ref="A3:C85" xr:uid="{9402DA3B-FE95-E944-95EA-CEB87EA760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A08D-9466-8740-BCEC-01A52E5AEF41}">
  <dimension ref="A1:N6"/>
  <sheetViews>
    <sheetView workbookViewId="0"/>
  </sheetViews>
  <sheetFormatPr baseColWidth="10" defaultRowHeight="16" x14ac:dyDescent="0.2"/>
  <sheetData>
    <row r="1" spans="1:14" x14ac:dyDescent="0.2">
      <c r="A1" t="s">
        <v>95</v>
      </c>
    </row>
    <row r="2" spans="1:14" x14ac:dyDescent="0.2">
      <c r="A2" t="s">
        <v>96</v>
      </c>
    </row>
    <row r="3" spans="1:14" x14ac:dyDescent="0.2">
      <c r="A3" t="s">
        <v>102</v>
      </c>
      <c r="M3" t="s">
        <v>55</v>
      </c>
    </row>
    <row r="4" spans="1:14" x14ac:dyDescent="0.2">
      <c r="A4">
        <f>K6/K5</f>
        <v>2.4446040194470591E-2</v>
      </c>
      <c r="M4">
        <v>0.68</v>
      </c>
      <c r="N4" t="s">
        <v>38</v>
      </c>
    </row>
    <row r="5" spans="1:14" x14ac:dyDescent="0.2">
      <c r="G5">
        <v>3</v>
      </c>
      <c r="H5" t="s">
        <v>97</v>
      </c>
      <c r="J5" s="9" t="s">
        <v>99</v>
      </c>
      <c r="K5">
        <f>G5/35.3147*10^9/24*M4/1000</f>
        <v>2406.9296921678506</v>
      </c>
      <c r="L5" t="s">
        <v>101</v>
      </c>
    </row>
    <row r="6" spans="1:14" x14ac:dyDescent="0.2">
      <c r="G6">
        <v>80000</v>
      </c>
      <c r="H6" t="s">
        <v>98</v>
      </c>
      <c r="J6" s="9" t="s">
        <v>99</v>
      </c>
      <c r="K6">
        <v>58.8399</v>
      </c>
      <c r="L6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2E0F-3704-A54D-966E-55ED9E66609D}">
  <dimension ref="A1:S235"/>
  <sheetViews>
    <sheetView topLeftCell="A106" workbookViewId="0">
      <selection activeCell="D140" sqref="D140"/>
    </sheetView>
  </sheetViews>
  <sheetFormatPr baseColWidth="10" defaultColWidth="11" defaultRowHeight="16" x14ac:dyDescent="0.2"/>
  <sheetData>
    <row r="1" spans="1:15" x14ac:dyDescent="0.2">
      <c r="A1" t="s">
        <v>43</v>
      </c>
    </row>
    <row r="2" spans="1:15" x14ac:dyDescent="0.2">
      <c r="A2" t="s">
        <v>44</v>
      </c>
    </row>
    <row r="3" spans="1:15" x14ac:dyDescent="0.2">
      <c r="A3" t="s">
        <v>17</v>
      </c>
      <c r="B3" t="s">
        <v>45</v>
      </c>
      <c r="C3" t="s">
        <v>41</v>
      </c>
      <c r="D3" t="s">
        <v>68</v>
      </c>
    </row>
    <row r="4" spans="1:15" x14ac:dyDescent="0.2">
      <c r="A4" t="s">
        <v>34</v>
      </c>
      <c r="B4" t="s">
        <v>46</v>
      </c>
      <c r="C4">
        <v>1</v>
      </c>
      <c r="D4" s="1">
        <f>$L$10*$L$7</f>
        <v>278</v>
      </c>
      <c r="H4" t="s">
        <v>135</v>
      </c>
    </row>
    <row r="5" spans="1:15" x14ac:dyDescent="0.2">
      <c r="A5" t="s">
        <v>34</v>
      </c>
      <c r="B5" t="s">
        <v>46</v>
      </c>
      <c r="C5">
        <v>2</v>
      </c>
      <c r="D5" s="1">
        <f t="shared" ref="D5:D35" si="0">$L$10*$L$7</f>
        <v>278</v>
      </c>
      <c r="H5" t="s">
        <v>41</v>
      </c>
      <c r="I5" t="s">
        <v>42</v>
      </c>
      <c r="J5" t="s">
        <v>108</v>
      </c>
    </row>
    <row r="6" spans="1:15" x14ac:dyDescent="0.2">
      <c r="A6" t="s">
        <v>34</v>
      </c>
      <c r="B6" t="s">
        <v>46</v>
      </c>
      <c r="C6">
        <v>3</v>
      </c>
      <c r="D6" s="1">
        <f t="shared" si="0"/>
        <v>278</v>
      </c>
      <c r="H6">
        <v>1</v>
      </c>
      <c r="I6">
        <v>0.28999999999999998</v>
      </c>
      <c r="J6">
        <f>$I6/$L$7*1000</f>
        <v>20.863309352517987</v>
      </c>
      <c r="L6" t="s">
        <v>103</v>
      </c>
    </row>
    <row r="7" spans="1:15" x14ac:dyDescent="0.2">
      <c r="A7" t="s">
        <v>34</v>
      </c>
      <c r="B7" t="s">
        <v>46</v>
      </c>
      <c r="C7">
        <v>4</v>
      </c>
      <c r="D7" s="1">
        <f t="shared" si="0"/>
        <v>278</v>
      </c>
      <c r="H7">
        <v>2</v>
      </c>
      <c r="I7">
        <v>0.31375186250722598</v>
      </c>
      <c r="J7">
        <f t="shared" ref="J7:J13" si="1">$I7/$L$7*1000</f>
        <v>22.572076439368779</v>
      </c>
      <c r="L7">
        <f>0.0139*1000</f>
        <v>13.899999999999999</v>
      </c>
      <c r="M7" t="s">
        <v>104</v>
      </c>
    </row>
    <row r="8" spans="1:15" x14ac:dyDescent="0.2">
      <c r="A8" t="s">
        <v>34</v>
      </c>
      <c r="B8" t="s">
        <v>46</v>
      </c>
      <c r="C8">
        <v>5</v>
      </c>
      <c r="D8" s="1">
        <f t="shared" si="0"/>
        <v>278</v>
      </c>
      <c r="H8">
        <v>3</v>
      </c>
      <c r="I8">
        <v>0.34120507472148442</v>
      </c>
      <c r="J8">
        <f t="shared" si="1"/>
        <v>24.547127677804639</v>
      </c>
    </row>
    <row r="9" spans="1:15" x14ac:dyDescent="0.2">
      <c r="A9" t="s">
        <v>34</v>
      </c>
      <c r="B9" t="s">
        <v>46</v>
      </c>
      <c r="C9">
        <v>6</v>
      </c>
      <c r="D9" s="1">
        <f t="shared" si="0"/>
        <v>278</v>
      </c>
      <c r="H9">
        <v>4</v>
      </c>
      <c r="I9">
        <v>0.36441103942568653</v>
      </c>
      <c r="J9">
        <f t="shared" si="1"/>
        <v>26.216621541416298</v>
      </c>
      <c r="L9" s="4" t="s">
        <v>105</v>
      </c>
    </row>
    <row r="10" spans="1:15" x14ac:dyDescent="0.2">
      <c r="A10" t="s">
        <v>34</v>
      </c>
      <c r="B10" t="s">
        <v>46</v>
      </c>
      <c r="C10">
        <v>7</v>
      </c>
      <c r="D10" s="1">
        <f t="shared" si="0"/>
        <v>278</v>
      </c>
      <c r="H10">
        <v>5</v>
      </c>
      <c r="I10">
        <v>0.37669945493379436</v>
      </c>
      <c r="J10">
        <f t="shared" si="1"/>
        <v>27.100680211064343</v>
      </c>
      <c r="L10">
        <v>20</v>
      </c>
      <c r="M10" t="s">
        <v>106</v>
      </c>
    </row>
    <row r="11" spans="1:15" x14ac:dyDescent="0.2">
      <c r="A11" t="s">
        <v>34</v>
      </c>
      <c r="B11" t="s">
        <v>46</v>
      </c>
      <c r="C11">
        <v>8</v>
      </c>
      <c r="D11" s="1">
        <f t="shared" si="0"/>
        <v>278</v>
      </c>
      <c r="H11">
        <v>6</v>
      </c>
      <c r="I11">
        <v>0.38442132118940459</v>
      </c>
      <c r="J11">
        <f t="shared" si="1"/>
        <v>27.656210157511122</v>
      </c>
    </row>
    <row r="12" spans="1:15" x14ac:dyDescent="0.2">
      <c r="A12" t="s">
        <v>35</v>
      </c>
      <c r="B12" t="s">
        <v>46</v>
      </c>
      <c r="C12">
        <v>1</v>
      </c>
      <c r="D12" s="1">
        <f t="shared" si="0"/>
        <v>278</v>
      </c>
      <c r="H12">
        <v>7</v>
      </c>
      <c r="I12">
        <v>0.39034929228055038</v>
      </c>
      <c r="J12">
        <f t="shared" si="1"/>
        <v>28.082682897881327</v>
      </c>
    </row>
    <row r="13" spans="1:15" x14ac:dyDescent="0.2">
      <c r="A13" t="s">
        <v>35</v>
      </c>
      <c r="B13" t="s">
        <v>46</v>
      </c>
      <c r="C13">
        <v>2</v>
      </c>
      <c r="D13" s="1">
        <f t="shared" si="0"/>
        <v>278</v>
      </c>
      <c r="H13">
        <v>8</v>
      </c>
      <c r="I13">
        <v>0.39034929228055038</v>
      </c>
      <c r="J13">
        <f t="shared" si="1"/>
        <v>28.082682897881327</v>
      </c>
    </row>
    <row r="14" spans="1:15" x14ac:dyDescent="0.2">
      <c r="A14" t="s">
        <v>35</v>
      </c>
      <c r="B14" t="s">
        <v>46</v>
      </c>
      <c r="C14">
        <v>3</v>
      </c>
      <c r="D14" s="1">
        <f t="shared" si="0"/>
        <v>278</v>
      </c>
    </row>
    <row r="15" spans="1:15" x14ac:dyDescent="0.2">
      <c r="A15" t="s">
        <v>35</v>
      </c>
      <c r="B15" t="s">
        <v>46</v>
      </c>
      <c r="C15">
        <v>4</v>
      </c>
      <c r="D15" s="1">
        <f t="shared" si="0"/>
        <v>278</v>
      </c>
      <c r="M15" s="9"/>
      <c r="N15">
        <v>0.29307100000000003</v>
      </c>
      <c r="O15" t="s">
        <v>125</v>
      </c>
    </row>
    <row r="16" spans="1:15" x14ac:dyDescent="0.2">
      <c r="A16" t="s">
        <v>35</v>
      </c>
      <c r="B16" t="s">
        <v>46</v>
      </c>
      <c r="C16">
        <v>5</v>
      </c>
      <c r="D16" s="1">
        <f t="shared" si="0"/>
        <v>278</v>
      </c>
    </row>
    <row r="17" spans="1:12" x14ac:dyDescent="0.2">
      <c r="A17" t="s">
        <v>35</v>
      </c>
      <c r="B17" t="s">
        <v>46</v>
      </c>
      <c r="C17">
        <v>6</v>
      </c>
      <c r="D17" s="1">
        <f t="shared" si="0"/>
        <v>278</v>
      </c>
      <c r="H17" t="s">
        <v>109</v>
      </c>
      <c r="I17" t="s">
        <v>123</v>
      </c>
      <c r="J17" t="s">
        <v>124</v>
      </c>
      <c r="K17" t="s">
        <v>129</v>
      </c>
    </row>
    <row r="18" spans="1:12" x14ac:dyDescent="0.2">
      <c r="A18" t="s">
        <v>35</v>
      </c>
      <c r="B18" t="s">
        <v>46</v>
      </c>
      <c r="C18">
        <v>7</v>
      </c>
      <c r="D18" s="1">
        <f t="shared" si="0"/>
        <v>278</v>
      </c>
      <c r="H18" t="s">
        <v>110</v>
      </c>
      <c r="I18">
        <v>15.16</v>
      </c>
      <c r="J18">
        <f>I18/$N$15</f>
        <v>51.728079543864794</v>
      </c>
      <c r="K18">
        <f>J18*$L$7/10^3</f>
        <v>0.71902030565972053</v>
      </c>
      <c r="L18" t="s">
        <v>126</v>
      </c>
    </row>
    <row r="19" spans="1:12" x14ac:dyDescent="0.2">
      <c r="A19" t="s">
        <v>35</v>
      </c>
      <c r="B19" t="s">
        <v>46</v>
      </c>
      <c r="C19">
        <v>8</v>
      </c>
      <c r="D19" s="1">
        <f t="shared" si="0"/>
        <v>278</v>
      </c>
      <c r="H19" t="s">
        <v>111</v>
      </c>
      <c r="I19">
        <v>15.24</v>
      </c>
      <c r="J19">
        <f t="shared" ref="J19:J29" si="2">I19/$N$15</f>
        <v>52.001050939874631</v>
      </c>
      <c r="K19">
        <f t="shared" ref="K19:K29" si="3">J19*$L$7/10^3</f>
        <v>0.72281460806425735</v>
      </c>
      <c r="L19" t="s">
        <v>127</v>
      </c>
    </row>
    <row r="20" spans="1:12" x14ac:dyDescent="0.2">
      <c r="A20" t="s">
        <v>70</v>
      </c>
      <c r="B20" t="s">
        <v>46</v>
      </c>
      <c r="C20">
        <v>1</v>
      </c>
      <c r="D20" s="1">
        <f t="shared" si="0"/>
        <v>278</v>
      </c>
      <c r="H20" t="s">
        <v>112</v>
      </c>
      <c r="I20">
        <v>15.085000000000001</v>
      </c>
      <c r="J20">
        <f t="shared" si="2"/>
        <v>51.472168860105569</v>
      </c>
      <c r="K20">
        <f t="shared" si="3"/>
        <v>0.71546314715546733</v>
      </c>
    </row>
    <row r="21" spans="1:12" x14ac:dyDescent="0.2">
      <c r="A21" t="s">
        <v>70</v>
      </c>
      <c r="B21" t="s">
        <v>46</v>
      </c>
      <c r="C21">
        <v>2</v>
      </c>
      <c r="D21" s="1">
        <f t="shared" si="0"/>
        <v>278</v>
      </c>
      <c r="H21" t="s">
        <v>113</v>
      </c>
      <c r="I21">
        <v>14.414999999999999</v>
      </c>
      <c r="J21">
        <f t="shared" si="2"/>
        <v>49.186033418523152</v>
      </c>
      <c r="K21">
        <f t="shared" si="3"/>
        <v>0.68368586451747171</v>
      </c>
    </row>
    <row r="22" spans="1:12" x14ac:dyDescent="0.2">
      <c r="A22" t="s">
        <v>70</v>
      </c>
      <c r="B22" t="s">
        <v>46</v>
      </c>
      <c r="C22">
        <v>3</v>
      </c>
      <c r="D22" s="1">
        <f t="shared" si="0"/>
        <v>278</v>
      </c>
      <c r="H22" t="s">
        <v>114</v>
      </c>
      <c r="I22">
        <v>14.324999999999999</v>
      </c>
      <c r="J22">
        <f t="shared" si="2"/>
        <v>48.878940598012079</v>
      </c>
      <c r="K22">
        <f t="shared" si="3"/>
        <v>0.67941727431236776</v>
      </c>
    </row>
    <row r="23" spans="1:12" x14ac:dyDescent="0.2">
      <c r="A23" t="s">
        <v>70</v>
      </c>
      <c r="B23" t="s">
        <v>46</v>
      </c>
      <c r="C23">
        <v>4</v>
      </c>
      <c r="D23" s="1">
        <f t="shared" si="0"/>
        <v>278</v>
      </c>
      <c r="H23" t="s">
        <v>115</v>
      </c>
      <c r="I23">
        <v>14.345000000000001</v>
      </c>
      <c r="J23">
        <f t="shared" si="2"/>
        <v>48.947183447014545</v>
      </c>
      <c r="K23">
        <f t="shared" si="3"/>
        <v>0.68036584991350213</v>
      </c>
    </row>
    <row r="24" spans="1:12" x14ac:dyDescent="0.2">
      <c r="A24" t="s">
        <v>70</v>
      </c>
      <c r="B24" t="s">
        <v>46</v>
      </c>
      <c r="C24">
        <v>5</v>
      </c>
      <c r="D24" s="1">
        <f t="shared" si="0"/>
        <v>278</v>
      </c>
      <c r="H24" t="s">
        <v>116</v>
      </c>
      <c r="I24">
        <v>14.44</v>
      </c>
      <c r="J24">
        <f t="shared" si="2"/>
        <v>49.271336979776223</v>
      </c>
      <c r="K24">
        <f t="shared" si="3"/>
        <v>0.68487158401888937</v>
      </c>
    </row>
    <row r="25" spans="1:12" x14ac:dyDescent="0.2">
      <c r="A25" t="s">
        <v>70</v>
      </c>
      <c r="B25" t="s">
        <v>46</v>
      </c>
      <c r="C25">
        <v>6</v>
      </c>
      <c r="D25" s="1">
        <f t="shared" si="0"/>
        <v>278</v>
      </c>
      <c r="H25" t="s">
        <v>117</v>
      </c>
      <c r="I25">
        <v>14.48</v>
      </c>
      <c r="J25">
        <f t="shared" si="2"/>
        <v>49.407822677781148</v>
      </c>
      <c r="K25">
        <f t="shared" si="3"/>
        <v>0.68676873522115789</v>
      </c>
    </row>
    <row r="26" spans="1:12" x14ac:dyDescent="0.2">
      <c r="A26" t="s">
        <v>70</v>
      </c>
      <c r="B26" t="s">
        <v>46</v>
      </c>
      <c r="C26">
        <v>7</v>
      </c>
      <c r="D26" s="1">
        <f t="shared" si="0"/>
        <v>278</v>
      </c>
      <c r="H26" t="s">
        <v>118</v>
      </c>
      <c r="I26">
        <v>14.57</v>
      </c>
      <c r="J26">
        <f t="shared" si="2"/>
        <v>49.714915498292221</v>
      </c>
      <c r="K26">
        <f t="shared" si="3"/>
        <v>0.69103732542626173</v>
      </c>
    </row>
    <row r="27" spans="1:12" x14ac:dyDescent="0.2">
      <c r="A27" t="s">
        <v>70</v>
      </c>
      <c r="B27" t="s">
        <v>46</v>
      </c>
      <c r="C27">
        <v>8</v>
      </c>
      <c r="D27" s="1">
        <f t="shared" si="0"/>
        <v>278</v>
      </c>
      <c r="H27" t="s">
        <v>119</v>
      </c>
      <c r="I27">
        <v>15.045</v>
      </c>
      <c r="J27">
        <f t="shared" si="2"/>
        <v>51.335683162100644</v>
      </c>
      <c r="K27">
        <f t="shared" si="3"/>
        <v>0.71356599595319892</v>
      </c>
    </row>
    <row r="28" spans="1:12" x14ac:dyDescent="0.2">
      <c r="A28" t="s">
        <v>50</v>
      </c>
      <c r="B28" t="s">
        <v>46</v>
      </c>
      <c r="C28">
        <v>1</v>
      </c>
      <c r="D28" s="1">
        <f t="shared" si="0"/>
        <v>278</v>
      </c>
      <c r="H28" t="s">
        <v>120</v>
      </c>
      <c r="I28">
        <v>15.955</v>
      </c>
      <c r="J28">
        <f t="shared" si="2"/>
        <v>54.440732791712584</v>
      </c>
      <c r="K28">
        <f t="shared" si="3"/>
        <v>0.75672618580480477</v>
      </c>
    </row>
    <row r="29" spans="1:12" x14ac:dyDescent="0.2">
      <c r="A29" t="s">
        <v>50</v>
      </c>
      <c r="B29" t="s">
        <v>46</v>
      </c>
      <c r="C29">
        <v>2</v>
      </c>
      <c r="D29" s="1">
        <f t="shared" si="0"/>
        <v>278</v>
      </c>
      <c r="H29" t="s">
        <v>121</v>
      </c>
      <c r="I29">
        <v>16.215</v>
      </c>
      <c r="J29">
        <f t="shared" si="2"/>
        <v>55.327889828744567</v>
      </c>
      <c r="K29">
        <f t="shared" si="3"/>
        <v>0.76905766861954938</v>
      </c>
    </row>
    <row r="30" spans="1:12" x14ac:dyDescent="0.2">
      <c r="A30" t="s">
        <v>50</v>
      </c>
      <c r="B30" t="s">
        <v>46</v>
      </c>
      <c r="C30">
        <v>3</v>
      </c>
      <c r="D30" s="1">
        <f t="shared" si="0"/>
        <v>278</v>
      </c>
      <c r="H30" s="4" t="s">
        <v>122</v>
      </c>
      <c r="I30" s="4">
        <f>AVERAGE(I18:I29)</f>
        <v>14.939583333333333</v>
      </c>
      <c r="J30" s="4">
        <f>AVERAGE(J18:J29)</f>
        <v>50.975986478816843</v>
      </c>
      <c r="K30" s="4">
        <f>J30*$L$7/10^3</f>
        <v>0.70856621205555403</v>
      </c>
    </row>
    <row r="31" spans="1:12" x14ac:dyDescent="0.2">
      <c r="A31" t="s">
        <v>50</v>
      </c>
      <c r="B31" t="s">
        <v>46</v>
      </c>
      <c r="C31">
        <v>4</v>
      </c>
      <c r="D31" s="1">
        <f t="shared" si="0"/>
        <v>278</v>
      </c>
    </row>
    <row r="32" spans="1:12" x14ac:dyDescent="0.2">
      <c r="A32" t="s">
        <v>50</v>
      </c>
      <c r="B32" t="s">
        <v>46</v>
      </c>
      <c r="C32">
        <v>5</v>
      </c>
      <c r="D32" s="1">
        <f t="shared" si="0"/>
        <v>278</v>
      </c>
    </row>
    <row r="33" spans="1:19" x14ac:dyDescent="0.2">
      <c r="A33" t="s">
        <v>50</v>
      </c>
      <c r="B33" t="s">
        <v>46</v>
      </c>
      <c r="C33">
        <v>6</v>
      </c>
      <c r="D33" s="1">
        <f t="shared" si="0"/>
        <v>278</v>
      </c>
      <c r="H33" t="s">
        <v>134</v>
      </c>
      <c r="Q33" t="s">
        <v>130</v>
      </c>
    </row>
    <row r="34" spans="1:19" x14ac:dyDescent="0.2">
      <c r="A34" t="s">
        <v>50</v>
      </c>
      <c r="B34" t="s">
        <v>46</v>
      </c>
      <c r="C34">
        <v>7</v>
      </c>
      <c r="D34" s="1">
        <f t="shared" si="0"/>
        <v>278</v>
      </c>
      <c r="H34" t="s">
        <v>41</v>
      </c>
      <c r="I34" t="s">
        <v>42</v>
      </c>
      <c r="Q34" t="s">
        <v>131</v>
      </c>
      <c r="R34" t="s">
        <v>132</v>
      </c>
      <c r="S34" t="s">
        <v>133</v>
      </c>
    </row>
    <row r="35" spans="1:19" x14ac:dyDescent="0.2">
      <c r="A35" t="s">
        <v>50</v>
      </c>
      <c r="B35" t="s">
        <v>46</v>
      </c>
      <c r="C35">
        <v>8</v>
      </c>
      <c r="D35" s="1">
        <f t="shared" si="0"/>
        <v>278</v>
      </c>
      <c r="H35">
        <v>1</v>
      </c>
      <c r="I35">
        <f>K30</f>
        <v>0.70856621205555403</v>
      </c>
      <c r="Q35">
        <v>1</v>
      </c>
      <c r="R35">
        <v>8.0455904252016524</v>
      </c>
      <c r="S35">
        <f>R35/$R$35</f>
        <v>1</v>
      </c>
    </row>
    <row r="36" spans="1:19" x14ac:dyDescent="0.2">
      <c r="A36" t="s">
        <v>50</v>
      </c>
      <c r="B36" t="s">
        <v>47</v>
      </c>
      <c r="C36">
        <v>1</v>
      </c>
      <c r="D36" s="1">
        <f>SUMIF($H$35:$H$42,"="&amp;C36,$I$35:$I$42)*10^3</f>
        <v>708.56621205555405</v>
      </c>
      <c r="H36">
        <v>2</v>
      </c>
      <c r="I36">
        <f>$I$35*S36</f>
        <v>0.76659989221420732</v>
      </c>
      <c r="Q36">
        <v>2</v>
      </c>
      <c r="R36">
        <v>8.7045482099218034</v>
      </c>
      <c r="S36">
        <f t="shared" ref="S36:S42" si="4">R36/$R$35</f>
        <v>1.0819029741628483</v>
      </c>
    </row>
    <row r="37" spans="1:19" x14ac:dyDescent="0.2">
      <c r="A37" t="s">
        <v>50</v>
      </c>
      <c r="B37" t="s">
        <v>47</v>
      </c>
      <c r="C37">
        <v>2</v>
      </c>
      <c r="D37" s="1">
        <f t="shared" ref="D37:D51" si="5">SUMIF($H$35:$H$42,"="&amp;C37,$I$35:$I$42)*10^3</f>
        <v>766.59989221420733</v>
      </c>
      <c r="H37">
        <v>3</v>
      </c>
      <c r="I37">
        <f t="shared" ref="I37:I42" si="6">$I$35*S37</f>
        <v>0.83367719768805004</v>
      </c>
      <c r="Q37">
        <v>3</v>
      </c>
      <c r="R37">
        <v>9.4661940765841024</v>
      </c>
      <c r="S37">
        <f t="shared" si="4"/>
        <v>1.1765692231775327</v>
      </c>
    </row>
    <row r="38" spans="1:19" x14ac:dyDescent="0.2">
      <c r="A38" t="s">
        <v>50</v>
      </c>
      <c r="B38" t="s">
        <v>47</v>
      </c>
      <c r="C38">
        <v>3</v>
      </c>
      <c r="D38" s="1">
        <f t="shared" si="5"/>
        <v>833.67719768805</v>
      </c>
      <c r="H38">
        <v>4</v>
      </c>
      <c r="I38">
        <f t="shared" si="6"/>
        <v>0.89037706840374442</v>
      </c>
      <c r="Q38">
        <v>4</v>
      </c>
      <c r="R38">
        <v>10.110006791865812</v>
      </c>
      <c r="S38">
        <f t="shared" si="4"/>
        <v>1.256589791123057</v>
      </c>
    </row>
    <row r="39" spans="1:19" x14ac:dyDescent="0.2">
      <c r="A39" t="s">
        <v>50</v>
      </c>
      <c r="B39" t="s">
        <v>47</v>
      </c>
      <c r="C39">
        <v>4</v>
      </c>
      <c r="D39" s="1">
        <f t="shared" si="5"/>
        <v>890.37706840374437</v>
      </c>
      <c r="H39">
        <v>5</v>
      </c>
      <c r="I39">
        <f t="shared" si="6"/>
        <v>0.92040174436493305</v>
      </c>
      <c r="Q39">
        <v>5</v>
      </c>
      <c r="R39">
        <v>10.450929406186267</v>
      </c>
      <c r="S39">
        <f t="shared" si="4"/>
        <v>1.2989636377027394</v>
      </c>
    </row>
    <row r="40" spans="1:19" x14ac:dyDescent="0.2">
      <c r="A40" t="s">
        <v>50</v>
      </c>
      <c r="B40" t="s">
        <v>47</v>
      </c>
      <c r="C40">
        <v>5</v>
      </c>
      <c r="D40" s="1">
        <f t="shared" si="5"/>
        <v>920.40174436493305</v>
      </c>
      <c r="H40">
        <v>6</v>
      </c>
      <c r="I40">
        <f t="shared" si="6"/>
        <v>0.93926882547782042</v>
      </c>
      <c r="Q40">
        <v>6</v>
      </c>
      <c r="R40">
        <v>10.665160348292561</v>
      </c>
      <c r="S40">
        <f t="shared" si="4"/>
        <v>1.3255907627220849</v>
      </c>
    </row>
    <row r="41" spans="1:19" x14ac:dyDescent="0.2">
      <c r="A41" t="s">
        <v>50</v>
      </c>
      <c r="B41" t="s">
        <v>47</v>
      </c>
      <c r="C41">
        <v>6</v>
      </c>
      <c r="D41" s="1">
        <f t="shared" si="5"/>
        <v>939.26882547782043</v>
      </c>
      <c r="H41">
        <v>7</v>
      </c>
      <c r="I41">
        <f t="shared" si="6"/>
        <v>0.95375282555102048</v>
      </c>
      <c r="Q41">
        <v>7</v>
      </c>
      <c r="R41">
        <v>10.829622511919441</v>
      </c>
      <c r="S41">
        <f t="shared" si="4"/>
        <v>1.3460320423467256</v>
      </c>
    </row>
    <row r="42" spans="1:19" x14ac:dyDescent="0.2">
      <c r="A42" t="s">
        <v>50</v>
      </c>
      <c r="B42" t="s">
        <v>47</v>
      </c>
      <c r="C42">
        <v>7</v>
      </c>
      <c r="D42" s="1">
        <f t="shared" si="5"/>
        <v>953.75282555102046</v>
      </c>
      <c r="H42">
        <v>8</v>
      </c>
      <c r="I42">
        <f t="shared" si="6"/>
        <v>0.95375282555102048</v>
      </c>
      <c r="Q42">
        <v>8</v>
      </c>
      <c r="R42">
        <v>10.829622511919441</v>
      </c>
      <c r="S42">
        <f t="shared" si="4"/>
        <v>1.3460320423467256</v>
      </c>
    </row>
    <row r="43" spans="1:19" x14ac:dyDescent="0.2">
      <c r="A43" t="s">
        <v>50</v>
      </c>
      <c r="B43" t="s">
        <v>47</v>
      </c>
      <c r="C43">
        <v>8</v>
      </c>
      <c r="D43" s="1">
        <f t="shared" si="5"/>
        <v>953.75282555102046</v>
      </c>
    </row>
    <row r="44" spans="1:19" x14ac:dyDescent="0.2">
      <c r="A44" t="s">
        <v>5</v>
      </c>
      <c r="B44" t="s">
        <v>47</v>
      </c>
      <c r="C44">
        <v>1</v>
      </c>
      <c r="D44" s="1">
        <f t="shared" si="5"/>
        <v>708.56621205555405</v>
      </c>
    </row>
    <row r="45" spans="1:19" x14ac:dyDescent="0.2">
      <c r="A45" t="s">
        <v>5</v>
      </c>
      <c r="B45" t="s">
        <v>47</v>
      </c>
      <c r="C45">
        <v>2</v>
      </c>
      <c r="D45" s="1">
        <f t="shared" si="5"/>
        <v>766.59989221420733</v>
      </c>
    </row>
    <row r="46" spans="1:19" x14ac:dyDescent="0.2">
      <c r="A46" t="s">
        <v>5</v>
      </c>
      <c r="B46" t="s">
        <v>47</v>
      </c>
      <c r="C46">
        <v>3</v>
      </c>
      <c r="D46" s="1">
        <f t="shared" si="5"/>
        <v>833.67719768805</v>
      </c>
    </row>
    <row r="47" spans="1:19" x14ac:dyDescent="0.2">
      <c r="A47" t="s">
        <v>5</v>
      </c>
      <c r="B47" t="s">
        <v>47</v>
      </c>
      <c r="C47">
        <v>4</v>
      </c>
      <c r="D47" s="1">
        <f t="shared" si="5"/>
        <v>890.37706840374437</v>
      </c>
    </row>
    <row r="48" spans="1:19" x14ac:dyDescent="0.2">
      <c r="A48" t="s">
        <v>5</v>
      </c>
      <c r="B48" t="s">
        <v>47</v>
      </c>
      <c r="C48">
        <v>5</v>
      </c>
      <c r="D48" s="1">
        <f t="shared" si="5"/>
        <v>920.40174436493305</v>
      </c>
    </row>
    <row r="49" spans="1:4" x14ac:dyDescent="0.2">
      <c r="A49" t="s">
        <v>5</v>
      </c>
      <c r="B49" t="s">
        <v>47</v>
      </c>
      <c r="C49">
        <v>6</v>
      </c>
      <c r="D49" s="1">
        <f t="shared" si="5"/>
        <v>939.26882547782043</v>
      </c>
    </row>
    <row r="50" spans="1:4" x14ac:dyDescent="0.2">
      <c r="A50" t="s">
        <v>5</v>
      </c>
      <c r="B50" t="s">
        <v>47</v>
      </c>
      <c r="C50">
        <v>7</v>
      </c>
      <c r="D50" s="1">
        <f t="shared" si="5"/>
        <v>953.75282555102046</v>
      </c>
    </row>
    <row r="51" spans="1:4" x14ac:dyDescent="0.2">
      <c r="A51" t="s">
        <v>5</v>
      </c>
      <c r="B51" t="s">
        <v>47</v>
      </c>
      <c r="C51">
        <v>8</v>
      </c>
      <c r="D51" s="1">
        <f t="shared" si="5"/>
        <v>953.75282555102046</v>
      </c>
    </row>
    <row r="52" spans="1:4" x14ac:dyDescent="0.2">
      <c r="A52" t="s">
        <v>5</v>
      </c>
      <c r="B52" s="3" t="s">
        <v>48</v>
      </c>
      <c r="C52">
        <v>1</v>
      </c>
      <c r="D52" s="1">
        <f t="shared" ref="D52:D59" si="7">$L$10*$L$7</f>
        <v>278</v>
      </c>
    </row>
    <row r="53" spans="1:4" x14ac:dyDescent="0.2">
      <c r="A53" t="s">
        <v>5</v>
      </c>
      <c r="B53" s="3" t="s">
        <v>48</v>
      </c>
      <c r="C53">
        <v>2</v>
      </c>
      <c r="D53" s="1">
        <f t="shared" si="7"/>
        <v>278</v>
      </c>
    </row>
    <row r="54" spans="1:4" x14ac:dyDescent="0.2">
      <c r="A54" t="s">
        <v>5</v>
      </c>
      <c r="B54" s="3" t="s">
        <v>48</v>
      </c>
      <c r="C54">
        <v>3</v>
      </c>
      <c r="D54" s="1">
        <f t="shared" si="7"/>
        <v>278</v>
      </c>
    </row>
    <row r="55" spans="1:4" x14ac:dyDescent="0.2">
      <c r="A55" t="s">
        <v>5</v>
      </c>
      <c r="B55" s="3" t="s">
        <v>48</v>
      </c>
      <c r="C55">
        <v>4</v>
      </c>
      <c r="D55" s="1">
        <f t="shared" si="7"/>
        <v>278</v>
      </c>
    </row>
    <row r="56" spans="1:4" x14ac:dyDescent="0.2">
      <c r="A56" t="s">
        <v>5</v>
      </c>
      <c r="B56" s="3" t="s">
        <v>48</v>
      </c>
      <c r="C56">
        <v>5</v>
      </c>
      <c r="D56" s="1">
        <f t="shared" si="7"/>
        <v>278</v>
      </c>
    </row>
    <row r="57" spans="1:4" x14ac:dyDescent="0.2">
      <c r="A57" t="s">
        <v>5</v>
      </c>
      <c r="B57" s="3" t="s">
        <v>48</v>
      </c>
      <c r="C57">
        <v>6</v>
      </c>
      <c r="D57" s="1">
        <f t="shared" si="7"/>
        <v>278</v>
      </c>
    </row>
    <row r="58" spans="1:4" x14ac:dyDescent="0.2">
      <c r="A58" t="s">
        <v>5</v>
      </c>
      <c r="B58" s="3" t="s">
        <v>48</v>
      </c>
      <c r="C58">
        <v>7</v>
      </c>
      <c r="D58" s="1">
        <f t="shared" si="7"/>
        <v>278</v>
      </c>
    </row>
    <row r="59" spans="1:4" x14ac:dyDescent="0.2">
      <c r="A59" t="s">
        <v>5</v>
      </c>
      <c r="B59" s="3" t="s">
        <v>48</v>
      </c>
      <c r="C59">
        <v>8</v>
      </c>
      <c r="D59" s="1">
        <f t="shared" si="7"/>
        <v>278</v>
      </c>
    </row>
    <row r="60" spans="1:4" x14ac:dyDescent="0.2">
      <c r="A60" t="s">
        <v>9</v>
      </c>
      <c r="B60" t="s">
        <v>47</v>
      </c>
      <c r="C60">
        <v>1</v>
      </c>
      <c r="D60" s="1">
        <f t="shared" ref="D60:D67" si="8">SUMIF($H$35:$H$42,"="&amp;C60,$I$35:$I$42)*10^3</f>
        <v>708.56621205555405</v>
      </c>
    </row>
    <row r="61" spans="1:4" x14ac:dyDescent="0.2">
      <c r="A61" t="s">
        <v>9</v>
      </c>
      <c r="B61" t="s">
        <v>47</v>
      </c>
      <c r="C61">
        <v>2</v>
      </c>
      <c r="D61" s="1">
        <f t="shared" si="8"/>
        <v>766.59989221420733</v>
      </c>
    </row>
    <row r="62" spans="1:4" x14ac:dyDescent="0.2">
      <c r="A62" t="s">
        <v>9</v>
      </c>
      <c r="B62" t="s">
        <v>47</v>
      </c>
      <c r="C62">
        <v>3</v>
      </c>
      <c r="D62" s="1">
        <f t="shared" si="8"/>
        <v>833.67719768805</v>
      </c>
    </row>
    <row r="63" spans="1:4" x14ac:dyDescent="0.2">
      <c r="A63" t="s">
        <v>9</v>
      </c>
      <c r="B63" t="s">
        <v>47</v>
      </c>
      <c r="C63">
        <v>4</v>
      </c>
      <c r="D63" s="1">
        <f t="shared" si="8"/>
        <v>890.37706840374437</v>
      </c>
    </row>
    <row r="64" spans="1:4" x14ac:dyDescent="0.2">
      <c r="A64" t="s">
        <v>9</v>
      </c>
      <c r="B64" t="s">
        <v>47</v>
      </c>
      <c r="C64">
        <v>5</v>
      </c>
      <c r="D64" s="1">
        <f t="shared" si="8"/>
        <v>920.40174436493305</v>
      </c>
    </row>
    <row r="65" spans="1:4" x14ac:dyDescent="0.2">
      <c r="A65" t="s">
        <v>9</v>
      </c>
      <c r="B65" t="s">
        <v>47</v>
      </c>
      <c r="C65">
        <v>6</v>
      </c>
      <c r="D65" s="1">
        <f t="shared" si="8"/>
        <v>939.26882547782043</v>
      </c>
    </row>
    <row r="66" spans="1:4" x14ac:dyDescent="0.2">
      <c r="A66" t="s">
        <v>9</v>
      </c>
      <c r="B66" t="s">
        <v>47</v>
      </c>
      <c r="C66">
        <v>7</v>
      </c>
      <c r="D66" s="1">
        <f t="shared" si="8"/>
        <v>953.75282555102046</v>
      </c>
    </row>
    <row r="67" spans="1:4" x14ac:dyDescent="0.2">
      <c r="A67" t="s">
        <v>9</v>
      </c>
      <c r="B67" t="s">
        <v>47</v>
      </c>
      <c r="C67">
        <v>8</v>
      </c>
      <c r="D67" s="1">
        <f t="shared" si="8"/>
        <v>953.75282555102046</v>
      </c>
    </row>
    <row r="68" spans="1:4" x14ac:dyDescent="0.2">
      <c r="A68" t="s">
        <v>9</v>
      </c>
      <c r="B68" s="3" t="s">
        <v>48</v>
      </c>
      <c r="C68">
        <v>1</v>
      </c>
      <c r="D68" s="1">
        <f t="shared" ref="D68:D75" si="9">$L$10*$L$7</f>
        <v>278</v>
      </c>
    </row>
    <row r="69" spans="1:4" x14ac:dyDescent="0.2">
      <c r="A69" t="s">
        <v>9</v>
      </c>
      <c r="B69" s="3" t="s">
        <v>48</v>
      </c>
      <c r="C69">
        <v>2</v>
      </c>
      <c r="D69" s="1">
        <f t="shared" si="9"/>
        <v>278</v>
      </c>
    </row>
    <row r="70" spans="1:4" x14ac:dyDescent="0.2">
      <c r="A70" t="s">
        <v>9</v>
      </c>
      <c r="B70" s="3" t="s">
        <v>48</v>
      </c>
      <c r="C70">
        <v>3</v>
      </c>
      <c r="D70" s="1">
        <f t="shared" si="9"/>
        <v>278</v>
      </c>
    </row>
    <row r="71" spans="1:4" x14ac:dyDescent="0.2">
      <c r="A71" t="s">
        <v>9</v>
      </c>
      <c r="B71" s="3" t="s">
        <v>48</v>
      </c>
      <c r="C71">
        <v>4</v>
      </c>
      <c r="D71" s="1">
        <f t="shared" si="9"/>
        <v>278</v>
      </c>
    </row>
    <row r="72" spans="1:4" x14ac:dyDescent="0.2">
      <c r="A72" t="s">
        <v>9</v>
      </c>
      <c r="B72" s="3" t="s">
        <v>48</v>
      </c>
      <c r="C72">
        <v>5</v>
      </c>
      <c r="D72" s="1">
        <f t="shared" si="9"/>
        <v>278</v>
      </c>
    </row>
    <row r="73" spans="1:4" x14ac:dyDescent="0.2">
      <c r="A73" t="s">
        <v>9</v>
      </c>
      <c r="B73" s="3" t="s">
        <v>48</v>
      </c>
      <c r="C73">
        <v>6</v>
      </c>
      <c r="D73" s="1">
        <f t="shared" si="9"/>
        <v>278</v>
      </c>
    </row>
    <row r="74" spans="1:4" x14ac:dyDescent="0.2">
      <c r="A74" t="s">
        <v>9</v>
      </c>
      <c r="B74" s="3" t="s">
        <v>48</v>
      </c>
      <c r="C74">
        <v>7</v>
      </c>
      <c r="D74" s="1">
        <f t="shared" si="9"/>
        <v>278</v>
      </c>
    </row>
    <row r="75" spans="1:4" x14ac:dyDescent="0.2">
      <c r="A75" t="s">
        <v>9</v>
      </c>
      <c r="B75" s="3" t="s">
        <v>48</v>
      </c>
      <c r="C75">
        <v>8</v>
      </c>
      <c r="D75" s="1">
        <f t="shared" si="9"/>
        <v>278</v>
      </c>
    </row>
    <row r="76" spans="1:4" x14ac:dyDescent="0.2">
      <c r="A76" t="s">
        <v>1</v>
      </c>
      <c r="B76" t="s">
        <v>47</v>
      </c>
      <c r="C76">
        <v>1</v>
      </c>
      <c r="D76" s="1">
        <f t="shared" ref="D76:D139" si="10">SUMIF($H$35:$H$42,"="&amp;C76,$I$35:$I$42)*10^3</f>
        <v>708.56621205555405</v>
      </c>
    </row>
    <row r="77" spans="1:4" x14ac:dyDescent="0.2">
      <c r="A77" t="s">
        <v>1</v>
      </c>
      <c r="B77" t="s">
        <v>47</v>
      </c>
      <c r="C77">
        <v>2</v>
      </c>
      <c r="D77" s="1">
        <f t="shared" si="10"/>
        <v>766.59989221420733</v>
      </c>
    </row>
    <row r="78" spans="1:4" x14ac:dyDescent="0.2">
      <c r="A78" t="s">
        <v>1</v>
      </c>
      <c r="B78" t="s">
        <v>47</v>
      </c>
      <c r="C78">
        <v>3</v>
      </c>
      <c r="D78" s="1">
        <f t="shared" si="10"/>
        <v>833.67719768805</v>
      </c>
    </row>
    <row r="79" spans="1:4" x14ac:dyDescent="0.2">
      <c r="A79" t="s">
        <v>1</v>
      </c>
      <c r="B79" t="s">
        <v>47</v>
      </c>
      <c r="C79">
        <v>4</v>
      </c>
      <c r="D79" s="1">
        <f t="shared" si="10"/>
        <v>890.37706840374437</v>
      </c>
    </row>
    <row r="80" spans="1:4" x14ac:dyDescent="0.2">
      <c r="A80" t="s">
        <v>1</v>
      </c>
      <c r="B80" t="s">
        <v>47</v>
      </c>
      <c r="C80">
        <v>5</v>
      </c>
      <c r="D80" s="1">
        <f t="shared" si="10"/>
        <v>920.40174436493305</v>
      </c>
    </row>
    <row r="81" spans="1:4" x14ac:dyDescent="0.2">
      <c r="A81" t="s">
        <v>1</v>
      </c>
      <c r="B81" t="s">
        <v>47</v>
      </c>
      <c r="C81">
        <v>6</v>
      </c>
      <c r="D81" s="1">
        <f t="shared" si="10"/>
        <v>939.26882547782043</v>
      </c>
    </row>
    <row r="82" spans="1:4" x14ac:dyDescent="0.2">
      <c r="A82" t="s">
        <v>1</v>
      </c>
      <c r="B82" t="s">
        <v>47</v>
      </c>
      <c r="C82">
        <v>7</v>
      </c>
      <c r="D82" s="1">
        <f t="shared" si="10"/>
        <v>953.75282555102046</v>
      </c>
    </row>
    <row r="83" spans="1:4" x14ac:dyDescent="0.2">
      <c r="A83" t="s">
        <v>1</v>
      </c>
      <c r="B83" t="s">
        <v>47</v>
      </c>
      <c r="C83">
        <v>8</v>
      </c>
      <c r="D83" s="1">
        <f t="shared" si="10"/>
        <v>953.75282555102046</v>
      </c>
    </row>
    <row r="84" spans="1:4" x14ac:dyDescent="0.2">
      <c r="A84" t="s">
        <v>7</v>
      </c>
      <c r="B84" s="3" t="s">
        <v>47</v>
      </c>
      <c r="C84" s="3">
        <v>1</v>
      </c>
      <c r="D84" s="1">
        <f t="shared" si="10"/>
        <v>708.56621205555405</v>
      </c>
    </row>
    <row r="85" spans="1:4" x14ac:dyDescent="0.2">
      <c r="A85" t="s">
        <v>7</v>
      </c>
      <c r="B85" s="3" t="s">
        <v>47</v>
      </c>
      <c r="C85" s="3">
        <v>2</v>
      </c>
      <c r="D85" s="1">
        <f t="shared" si="10"/>
        <v>766.59989221420733</v>
      </c>
    </row>
    <row r="86" spans="1:4" x14ac:dyDescent="0.2">
      <c r="A86" t="s">
        <v>7</v>
      </c>
      <c r="B86" s="3" t="s">
        <v>47</v>
      </c>
      <c r="C86" s="3">
        <v>3</v>
      </c>
      <c r="D86" s="1">
        <f t="shared" si="10"/>
        <v>833.67719768805</v>
      </c>
    </row>
    <row r="87" spans="1:4" x14ac:dyDescent="0.2">
      <c r="A87" t="s">
        <v>7</v>
      </c>
      <c r="B87" s="3" t="s">
        <v>47</v>
      </c>
      <c r="C87" s="3">
        <v>4</v>
      </c>
      <c r="D87" s="1">
        <f t="shared" si="10"/>
        <v>890.37706840374437</v>
      </c>
    </row>
    <row r="88" spans="1:4" x14ac:dyDescent="0.2">
      <c r="A88" t="s">
        <v>7</v>
      </c>
      <c r="B88" s="3" t="s">
        <v>47</v>
      </c>
      <c r="C88" s="3">
        <v>5</v>
      </c>
      <c r="D88" s="1">
        <f t="shared" si="10"/>
        <v>920.40174436493305</v>
      </c>
    </row>
    <row r="89" spans="1:4" x14ac:dyDescent="0.2">
      <c r="A89" t="s">
        <v>7</v>
      </c>
      <c r="B89" s="3" t="s">
        <v>47</v>
      </c>
      <c r="C89" s="3">
        <v>6</v>
      </c>
      <c r="D89" s="1">
        <f t="shared" si="10"/>
        <v>939.26882547782043</v>
      </c>
    </row>
    <row r="90" spans="1:4" x14ac:dyDescent="0.2">
      <c r="A90" t="s">
        <v>7</v>
      </c>
      <c r="B90" s="3" t="s">
        <v>47</v>
      </c>
      <c r="C90" s="3">
        <v>7</v>
      </c>
      <c r="D90" s="1">
        <f t="shared" si="10"/>
        <v>953.75282555102046</v>
      </c>
    </row>
    <row r="91" spans="1:4" x14ac:dyDescent="0.2">
      <c r="A91" t="s">
        <v>7</v>
      </c>
      <c r="B91" s="3" t="s">
        <v>47</v>
      </c>
      <c r="C91" s="3">
        <v>8</v>
      </c>
      <c r="D91" s="1">
        <f t="shared" si="10"/>
        <v>953.75282555102046</v>
      </c>
    </row>
    <row r="92" spans="1:4" x14ac:dyDescent="0.2">
      <c r="A92" t="s">
        <v>6</v>
      </c>
      <c r="B92" s="3" t="s">
        <v>47</v>
      </c>
      <c r="C92" s="3">
        <v>1</v>
      </c>
      <c r="D92" s="1">
        <f t="shared" si="10"/>
        <v>708.56621205555405</v>
      </c>
    </row>
    <row r="93" spans="1:4" x14ac:dyDescent="0.2">
      <c r="A93" t="s">
        <v>6</v>
      </c>
      <c r="B93" s="3" t="s">
        <v>47</v>
      </c>
      <c r="C93" s="3">
        <v>2</v>
      </c>
      <c r="D93" s="1">
        <f t="shared" si="10"/>
        <v>766.59989221420733</v>
      </c>
    </row>
    <row r="94" spans="1:4" x14ac:dyDescent="0.2">
      <c r="A94" t="s">
        <v>6</v>
      </c>
      <c r="B94" s="3" t="s">
        <v>47</v>
      </c>
      <c r="C94" s="3">
        <v>3</v>
      </c>
      <c r="D94" s="1">
        <f t="shared" si="10"/>
        <v>833.67719768805</v>
      </c>
    </row>
    <row r="95" spans="1:4" x14ac:dyDescent="0.2">
      <c r="A95" t="s">
        <v>6</v>
      </c>
      <c r="B95" s="3" t="s">
        <v>47</v>
      </c>
      <c r="C95" s="3">
        <v>4</v>
      </c>
      <c r="D95" s="1">
        <f t="shared" si="10"/>
        <v>890.37706840374437</v>
      </c>
    </row>
    <row r="96" spans="1:4" x14ac:dyDescent="0.2">
      <c r="A96" t="s">
        <v>6</v>
      </c>
      <c r="B96" s="3" t="s">
        <v>47</v>
      </c>
      <c r="C96" s="3">
        <v>5</v>
      </c>
      <c r="D96" s="1">
        <f t="shared" si="10"/>
        <v>920.40174436493305</v>
      </c>
    </row>
    <row r="97" spans="1:4" x14ac:dyDescent="0.2">
      <c r="A97" t="s">
        <v>6</v>
      </c>
      <c r="B97" s="3" t="s">
        <v>47</v>
      </c>
      <c r="C97" s="3">
        <v>6</v>
      </c>
      <c r="D97" s="1">
        <f t="shared" si="10"/>
        <v>939.26882547782043</v>
      </c>
    </row>
    <row r="98" spans="1:4" x14ac:dyDescent="0.2">
      <c r="A98" t="s">
        <v>6</v>
      </c>
      <c r="B98" s="3" t="s">
        <v>47</v>
      </c>
      <c r="C98" s="3">
        <v>7</v>
      </c>
      <c r="D98" s="1">
        <f t="shared" si="10"/>
        <v>953.75282555102046</v>
      </c>
    </row>
    <row r="99" spans="1:4" x14ac:dyDescent="0.2">
      <c r="A99" t="s">
        <v>6</v>
      </c>
      <c r="B99" s="3" t="s">
        <v>47</v>
      </c>
      <c r="C99" s="3">
        <v>8</v>
      </c>
      <c r="D99" s="1">
        <f t="shared" si="10"/>
        <v>953.75282555102046</v>
      </c>
    </row>
    <row r="100" spans="1:4" x14ac:dyDescent="0.2">
      <c r="A100" t="s">
        <v>27</v>
      </c>
      <c r="B100" s="3" t="s">
        <v>47</v>
      </c>
      <c r="C100" s="3">
        <v>1</v>
      </c>
      <c r="D100" s="1">
        <f t="shared" si="10"/>
        <v>708.56621205555405</v>
      </c>
    </row>
    <row r="101" spans="1:4" x14ac:dyDescent="0.2">
      <c r="A101" t="s">
        <v>27</v>
      </c>
      <c r="B101" s="3" t="s">
        <v>47</v>
      </c>
      <c r="C101" s="3">
        <v>2</v>
      </c>
      <c r="D101" s="1">
        <f t="shared" si="10"/>
        <v>766.59989221420733</v>
      </c>
    </row>
    <row r="102" spans="1:4" x14ac:dyDescent="0.2">
      <c r="A102" t="s">
        <v>27</v>
      </c>
      <c r="B102" s="3" t="s">
        <v>47</v>
      </c>
      <c r="C102" s="3">
        <v>3</v>
      </c>
      <c r="D102" s="1">
        <f t="shared" si="10"/>
        <v>833.67719768805</v>
      </c>
    </row>
    <row r="103" spans="1:4" x14ac:dyDescent="0.2">
      <c r="A103" t="s">
        <v>27</v>
      </c>
      <c r="B103" s="3" t="s">
        <v>47</v>
      </c>
      <c r="C103" s="3">
        <v>4</v>
      </c>
      <c r="D103" s="1">
        <f t="shared" si="10"/>
        <v>890.37706840374437</v>
      </c>
    </row>
    <row r="104" spans="1:4" x14ac:dyDescent="0.2">
      <c r="A104" t="s">
        <v>27</v>
      </c>
      <c r="B104" s="3" t="s">
        <v>47</v>
      </c>
      <c r="C104" s="3">
        <v>5</v>
      </c>
      <c r="D104" s="1">
        <f t="shared" si="10"/>
        <v>920.40174436493305</v>
      </c>
    </row>
    <row r="105" spans="1:4" x14ac:dyDescent="0.2">
      <c r="A105" t="s">
        <v>27</v>
      </c>
      <c r="B105" s="3" t="s">
        <v>47</v>
      </c>
      <c r="C105" s="3">
        <v>6</v>
      </c>
      <c r="D105" s="1">
        <f t="shared" si="10"/>
        <v>939.26882547782043</v>
      </c>
    </row>
    <row r="106" spans="1:4" x14ac:dyDescent="0.2">
      <c r="A106" t="s">
        <v>27</v>
      </c>
      <c r="B106" s="3" t="s">
        <v>47</v>
      </c>
      <c r="C106" s="3">
        <v>7</v>
      </c>
      <c r="D106" s="1">
        <f t="shared" si="10"/>
        <v>953.75282555102046</v>
      </c>
    </row>
    <row r="107" spans="1:4" x14ac:dyDescent="0.2">
      <c r="A107" t="s">
        <v>27</v>
      </c>
      <c r="B107" s="3" t="s">
        <v>47</v>
      </c>
      <c r="C107" s="3">
        <v>8</v>
      </c>
      <c r="D107" s="1">
        <f t="shared" si="10"/>
        <v>953.75282555102046</v>
      </c>
    </row>
    <row r="108" spans="1:4" x14ac:dyDescent="0.2">
      <c r="A108" t="s">
        <v>33</v>
      </c>
      <c r="B108" s="3" t="s">
        <v>47</v>
      </c>
      <c r="C108" s="3">
        <v>1</v>
      </c>
      <c r="D108" s="1">
        <f t="shared" si="10"/>
        <v>708.56621205555405</v>
      </c>
    </row>
    <row r="109" spans="1:4" x14ac:dyDescent="0.2">
      <c r="A109" t="s">
        <v>33</v>
      </c>
      <c r="B109" s="3" t="s">
        <v>47</v>
      </c>
      <c r="C109" s="3">
        <v>2</v>
      </c>
      <c r="D109" s="1">
        <f t="shared" si="10"/>
        <v>766.59989221420733</v>
      </c>
    </row>
    <row r="110" spans="1:4" x14ac:dyDescent="0.2">
      <c r="A110" t="s">
        <v>33</v>
      </c>
      <c r="B110" s="3" t="s">
        <v>47</v>
      </c>
      <c r="C110" s="3">
        <v>3</v>
      </c>
      <c r="D110" s="1">
        <f t="shared" si="10"/>
        <v>833.67719768805</v>
      </c>
    </row>
    <row r="111" spans="1:4" x14ac:dyDescent="0.2">
      <c r="A111" t="s">
        <v>33</v>
      </c>
      <c r="B111" s="3" t="s">
        <v>47</v>
      </c>
      <c r="C111" s="3">
        <v>4</v>
      </c>
      <c r="D111" s="1">
        <f t="shared" si="10"/>
        <v>890.37706840374437</v>
      </c>
    </row>
    <row r="112" spans="1:4" x14ac:dyDescent="0.2">
      <c r="A112" t="s">
        <v>33</v>
      </c>
      <c r="B112" s="3" t="s">
        <v>47</v>
      </c>
      <c r="C112" s="3">
        <v>5</v>
      </c>
      <c r="D112" s="1">
        <f t="shared" si="10"/>
        <v>920.40174436493305</v>
      </c>
    </row>
    <row r="113" spans="1:4" x14ac:dyDescent="0.2">
      <c r="A113" t="s">
        <v>33</v>
      </c>
      <c r="B113" s="3" t="s">
        <v>47</v>
      </c>
      <c r="C113" s="3">
        <v>6</v>
      </c>
      <c r="D113" s="1">
        <f t="shared" si="10"/>
        <v>939.26882547782043</v>
      </c>
    </row>
    <row r="114" spans="1:4" x14ac:dyDescent="0.2">
      <c r="A114" t="s">
        <v>33</v>
      </c>
      <c r="B114" s="3" t="s">
        <v>47</v>
      </c>
      <c r="C114" s="3">
        <v>7</v>
      </c>
      <c r="D114" s="1">
        <f t="shared" si="10"/>
        <v>953.75282555102046</v>
      </c>
    </row>
    <row r="115" spans="1:4" x14ac:dyDescent="0.2">
      <c r="A115" t="s">
        <v>33</v>
      </c>
      <c r="B115" s="3" t="s">
        <v>47</v>
      </c>
      <c r="C115" s="3">
        <v>8</v>
      </c>
      <c r="D115" s="1">
        <f t="shared" si="10"/>
        <v>953.75282555102046</v>
      </c>
    </row>
    <row r="116" spans="1:4" x14ac:dyDescent="0.2">
      <c r="A116" t="s">
        <v>11</v>
      </c>
      <c r="B116" s="3" t="s">
        <v>47</v>
      </c>
      <c r="C116" s="3">
        <v>1</v>
      </c>
      <c r="D116" s="1">
        <f t="shared" si="10"/>
        <v>708.56621205555405</v>
      </c>
    </row>
    <row r="117" spans="1:4" x14ac:dyDescent="0.2">
      <c r="A117" t="s">
        <v>11</v>
      </c>
      <c r="B117" s="3" t="s">
        <v>47</v>
      </c>
      <c r="C117" s="3">
        <v>2</v>
      </c>
      <c r="D117" s="1">
        <f t="shared" si="10"/>
        <v>766.59989221420733</v>
      </c>
    </row>
    <row r="118" spans="1:4" x14ac:dyDescent="0.2">
      <c r="A118" t="s">
        <v>11</v>
      </c>
      <c r="B118" s="3" t="s">
        <v>47</v>
      </c>
      <c r="C118" s="3">
        <v>3</v>
      </c>
      <c r="D118" s="1">
        <f t="shared" si="10"/>
        <v>833.67719768805</v>
      </c>
    </row>
    <row r="119" spans="1:4" x14ac:dyDescent="0.2">
      <c r="A119" t="s">
        <v>11</v>
      </c>
      <c r="B119" s="3" t="s">
        <v>47</v>
      </c>
      <c r="C119" s="3">
        <v>4</v>
      </c>
      <c r="D119" s="1">
        <f t="shared" si="10"/>
        <v>890.37706840374437</v>
      </c>
    </row>
    <row r="120" spans="1:4" x14ac:dyDescent="0.2">
      <c r="A120" t="s">
        <v>11</v>
      </c>
      <c r="B120" s="3" t="s">
        <v>47</v>
      </c>
      <c r="C120" s="3">
        <v>5</v>
      </c>
      <c r="D120" s="1">
        <f t="shared" si="10"/>
        <v>920.40174436493305</v>
      </c>
    </row>
    <row r="121" spans="1:4" x14ac:dyDescent="0.2">
      <c r="A121" t="s">
        <v>11</v>
      </c>
      <c r="B121" s="3" t="s">
        <v>47</v>
      </c>
      <c r="C121" s="3">
        <v>6</v>
      </c>
      <c r="D121" s="1">
        <f t="shared" si="10"/>
        <v>939.26882547782043</v>
      </c>
    </row>
    <row r="122" spans="1:4" x14ac:dyDescent="0.2">
      <c r="A122" t="s">
        <v>11</v>
      </c>
      <c r="B122" s="3" t="s">
        <v>47</v>
      </c>
      <c r="C122" s="3">
        <v>7</v>
      </c>
      <c r="D122" s="1">
        <f t="shared" si="10"/>
        <v>953.75282555102046</v>
      </c>
    </row>
    <row r="123" spans="1:4" x14ac:dyDescent="0.2">
      <c r="A123" t="s">
        <v>11</v>
      </c>
      <c r="B123" s="3" t="s">
        <v>47</v>
      </c>
      <c r="C123" s="3">
        <v>8</v>
      </c>
      <c r="D123" s="1">
        <f t="shared" si="10"/>
        <v>953.75282555102046</v>
      </c>
    </row>
    <row r="124" spans="1:4" x14ac:dyDescent="0.2">
      <c r="A124" t="s">
        <v>12</v>
      </c>
      <c r="B124" s="3" t="s">
        <v>47</v>
      </c>
      <c r="C124" s="3">
        <v>1</v>
      </c>
      <c r="D124" s="1">
        <f t="shared" si="10"/>
        <v>708.56621205555405</v>
      </c>
    </row>
    <row r="125" spans="1:4" x14ac:dyDescent="0.2">
      <c r="A125" t="s">
        <v>12</v>
      </c>
      <c r="B125" s="3" t="s">
        <v>47</v>
      </c>
      <c r="C125" s="3">
        <v>2</v>
      </c>
      <c r="D125" s="1">
        <f t="shared" si="10"/>
        <v>766.59989221420733</v>
      </c>
    </row>
    <row r="126" spans="1:4" x14ac:dyDescent="0.2">
      <c r="A126" t="s">
        <v>12</v>
      </c>
      <c r="B126" s="3" t="s">
        <v>47</v>
      </c>
      <c r="C126" s="3">
        <v>3</v>
      </c>
      <c r="D126" s="1">
        <f t="shared" si="10"/>
        <v>833.67719768805</v>
      </c>
    </row>
    <row r="127" spans="1:4" x14ac:dyDescent="0.2">
      <c r="A127" t="s">
        <v>12</v>
      </c>
      <c r="B127" s="3" t="s">
        <v>47</v>
      </c>
      <c r="C127" s="3">
        <v>4</v>
      </c>
      <c r="D127" s="1">
        <f t="shared" si="10"/>
        <v>890.37706840374437</v>
      </c>
    </row>
    <row r="128" spans="1:4" x14ac:dyDescent="0.2">
      <c r="A128" t="s">
        <v>12</v>
      </c>
      <c r="B128" s="3" t="s">
        <v>47</v>
      </c>
      <c r="C128" s="3">
        <v>5</v>
      </c>
      <c r="D128" s="1">
        <f t="shared" si="10"/>
        <v>920.40174436493305</v>
      </c>
    </row>
    <row r="129" spans="1:4" x14ac:dyDescent="0.2">
      <c r="A129" t="s">
        <v>12</v>
      </c>
      <c r="B129" s="3" t="s">
        <v>47</v>
      </c>
      <c r="C129" s="3">
        <v>6</v>
      </c>
      <c r="D129" s="1">
        <f t="shared" si="10"/>
        <v>939.26882547782043</v>
      </c>
    </row>
    <row r="130" spans="1:4" x14ac:dyDescent="0.2">
      <c r="A130" t="s">
        <v>12</v>
      </c>
      <c r="B130" s="3" t="s">
        <v>47</v>
      </c>
      <c r="C130" s="3">
        <v>7</v>
      </c>
      <c r="D130" s="1">
        <f t="shared" si="10"/>
        <v>953.75282555102046</v>
      </c>
    </row>
    <row r="131" spans="1:4" x14ac:dyDescent="0.2">
      <c r="A131" t="s">
        <v>12</v>
      </c>
      <c r="B131" s="3" t="s">
        <v>47</v>
      </c>
      <c r="C131" s="3">
        <v>8</v>
      </c>
      <c r="D131" s="1">
        <f t="shared" si="10"/>
        <v>953.75282555102046</v>
      </c>
    </row>
    <row r="132" spans="1:4" x14ac:dyDescent="0.2">
      <c r="A132" t="s">
        <v>13</v>
      </c>
      <c r="B132" s="3" t="s">
        <v>47</v>
      </c>
      <c r="C132" s="3">
        <v>1</v>
      </c>
      <c r="D132" s="1">
        <f t="shared" si="10"/>
        <v>708.56621205555405</v>
      </c>
    </row>
    <row r="133" spans="1:4" x14ac:dyDescent="0.2">
      <c r="A133" t="s">
        <v>13</v>
      </c>
      <c r="B133" s="3" t="s">
        <v>47</v>
      </c>
      <c r="C133" s="3">
        <v>2</v>
      </c>
      <c r="D133" s="1">
        <f t="shared" si="10"/>
        <v>766.59989221420733</v>
      </c>
    </row>
    <row r="134" spans="1:4" x14ac:dyDescent="0.2">
      <c r="A134" t="s">
        <v>13</v>
      </c>
      <c r="B134" s="3" t="s">
        <v>47</v>
      </c>
      <c r="C134" s="3">
        <v>3</v>
      </c>
      <c r="D134" s="1">
        <f t="shared" si="10"/>
        <v>833.67719768805</v>
      </c>
    </row>
    <row r="135" spans="1:4" x14ac:dyDescent="0.2">
      <c r="A135" t="s">
        <v>13</v>
      </c>
      <c r="B135" s="3" t="s">
        <v>47</v>
      </c>
      <c r="C135" s="3">
        <v>4</v>
      </c>
      <c r="D135" s="1">
        <f t="shared" si="10"/>
        <v>890.37706840374437</v>
      </c>
    </row>
    <row r="136" spans="1:4" x14ac:dyDescent="0.2">
      <c r="A136" t="s">
        <v>13</v>
      </c>
      <c r="B136" s="3" t="s">
        <v>47</v>
      </c>
      <c r="C136" s="3">
        <v>5</v>
      </c>
      <c r="D136" s="1">
        <f t="shared" si="10"/>
        <v>920.40174436493305</v>
      </c>
    </row>
    <row r="137" spans="1:4" x14ac:dyDescent="0.2">
      <c r="A137" t="s">
        <v>13</v>
      </c>
      <c r="B137" s="3" t="s">
        <v>47</v>
      </c>
      <c r="C137" s="3">
        <v>6</v>
      </c>
      <c r="D137" s="1">
        <f t="shared" si="10"/>
        <v>939.26882547782043</v>
      </c>
    </row>
    <row r="138" spans="1:4" x14ac:dyDescent="0.2">
      <c r="A138" t="s">
        <v>13</v>
      </c>
      <c r="B138" s="3" t="s">
        <v>47</v>
      </c>
      <c r="C138" s="3">
        <v>7</v>
      </c>
      <c r="D138" s="1">
        <f t="shared" si="10"/>
        <v>953.75282555102046</v>
      </c>
    </row>
    <row r="139" spans="1:4" x14ac:dyDescent="0.2">
      <c r="A139" t="s">
        <v>13</v>
      </c>
      <c r="B139" s="3" t="s">
        <v>47</v>
      </c>
      <c r="C139" s="3">
        <v>8</v>
      </c>
      <c r="D139" s="1">
        <f t="shared" si="10"/>
        <v>953.75282555102046</v>
      </c>
    </row>
    <row r="140" spans="1:4" x14ac:dyDescent="0.2">
      <c r="A140" t="s">
        <v>3</v>
      </c>
      <c r="B140" s="3" t="s">
        <v>107</v>
      </c>
      <c r="C140" s="3">
        <v>1</v>
      </c>
      <c r="D140" s="1">
        <f>$L$10*$L$7</f>
        <v>278</v>
      </c>
    </row>
    <row r="141" spans="1:4" x14ac:dyDescent="0.2">
      <c r="A141" t="s">
        <v>3</v>
      </c>
      <c r="B141" s="3" t="s">
        <v>107</v>
      </c>
      <c r="C141" s="3">
        <v>2</v>
      </c>
      <c r="D141" s="1">
        <f t="shared" ref="D141:D195" si="11">$L$10*$L$7</f>
        <v>278</v>
      </c>
    </row>
    <row r="142" spans="1:4" x14ac:dyDescent="0.2">
      <c r="A142" t="s">
        <v>3</v>
      </c>
      <c r="B142" s="3" t="s">
        <v>107</v>
      </c>
      <c r="C142" s="3">
        <v>3</v>
      </c>
      <c r="D142" s="1">
        <f t="shared" si="11"/>
        <v>278</v>
      </c>
    </row>
    <row r="143" spans="1:4" x14ac:dyDescent="0.2">
      <c r="A143" t="s">
        <v>3</v>
      </c>
      <c r="B143" s="3" t="s">
        <v>107</v>
      </c>
      <c r="C143" s="3">
        <v>4</v>
      </c>
      <c r="D143" s="1">
        <f t="shared" si="11"/>
        <v>278</v>
      </c>
    </row>
    <row r="144" spans="1:4" x14ac:dyDescent="0.2">
      <c r="A144" t="s">
        <v>3</v>
      </c>
      <c r="B144" s="3" t="s">
        <v>107</v>
      </c>
      <c r="C144" s="3">
        <v>5</v>
      </c>
      <c r="D144" s="1">
        <f t="shared" si="11"/>
        <v>278</v>
      </c>
    </row>
    <row r="145" spans="1:4" x14ac:dyDescent="0.2">
      <c r="A145" t="s">
        <v>3</v>
      </c>
      <c r="B145" s="3" t="s">
        <v>107</v>
      </c>
      <c r="C145" s="3">
        <v>6</v>
      </c>
      <c r="D145" s="1">
        <f t="shared" si="11"/>
        <v>278</v>
      </c>
    </row>
    <row r="146" spans="1:4" x14ac:dyDescent="0.2">
      <c r="A146" t="s">
        <v>3</v>
      </c>
      <c r="B146" s="3" t="s">
        <v>107</v>
      </c>
      <c r="C146" s="3">
        <v>7</v>
      </c>
      <c r="D146" s="1">
        <f t="shared" si="11"/>
        <v>278</v>
      </c>
    </row>
    <row r="147" spans="1:4" x14ac:dyDescent="0.2">
      <c r="A147" t="s">
        <v>3</v>
      </c>
      <c r="B147" s="3" t="s">
        <v>107</v>
      </c>
      <c r="C147" s="3">
        <v>8</v>
      </c>
      <c r="D147" s="1">
        <f t="shared" si="11"/>
        <v>278</v>
      </c>
    </row>
    <row r="148" spans="1:4" x14ac:dyDescent="0.2">
      <c r="A148" t="s">
        <v>33</v>
      </c>
      <c r="B148" s="3" t="s">
        <v>107</v>
      </c>
      <c r="C148" s="3">
        <v>1</v>
      </c>
      <c r="D148" s="1">
        <f t="shared" si="11"/>
        <v>278</v>
      </c>
    </row>
    <row r="149" spans="1:4" x14ac:dyDescent="0.2">
      <c r="A149" t="s">
        <v>33</v>
      </c>
      <c r="B149" s="3" t="s">
        <v>107</v>
      </c>
      <c r="C149" s="3">
        <v>2</v>
      </c>
      <c r="D149" s="1">
        <f t="shared" si="11"/>
        <v>278</v>
      </c>
    </row>
    <row r="150" spans="1:4" x14ac:dyDescent="0.2">
      <c r="A150" t="s">
        <v>33</v>
      </c>
      <c r="B150" s="3" t="s">
        <v>107</v>
      </c>
      <c r="C150" s="3">
        <v>3</v>
      </c>
      <c r="D150" s="1">
        <f t="shared" si="11"/>
        <v>278</v>
      </c>
    </row>
    <row r="151" spans="1:4" x14ac:dyDescent="0.2">
      <c r="A151" t="s">
        <v>33</v>
      </c>
      <c r="B151" s="3" t="s">
        <v>107</v>
      </c>
      <c r="C151" s="3">
        <v>4</v>
      </c>
      <c r="D151" s="1">
        <f t="shared" si="11"/>
        <v>278</v>
      </c>
    </row>
    <row r="152" spans="1:4" x14ac:dyDescent="0.2">
      <c r="A152" t="s">
        <v>33</v>
      </c>
      <c r="B152" s="3" t="s">
        <v>107</v>
      </c>
      <c r="C152" s="3">
        <v>5</v>
      </c>
      <c r="D152" s="1">
        <f t="shared" si="11"/>
        <v>278</v>
      </c>
    </row>
    <row r="153" spans="1:4" x14ac:dyDescent="0.2">
      <c r="A153" t="s">
        <v>33</v>
      </c>
      <c r="B153" s="3" t="s">
        <v>107</v>
      </c>
      <c r="C153" s="3">
        <v>6</v>
      </c>
      <c r="D153" s="1">
        <f t="shared" si="11"/>
        <v>278</v>
      </c>
    </row>
    <row r="154" spans="1:4" x14ac:dyDescent="0.2">
      <c r="A154" t="s">
        <v>33</v>
      </c>
      <c r="B154" s="3" t="s">
        <v>107</v>
      </c>
      <c r="C154" s="3">
        <v>7</v>
      </c>
      <c r="D154" s="1">
        <f t="shared" si="11"/>
        <v>278</v>
      </c>
    </row>
    <row r="155" spans="1:4" x14ac:dyDescent="0.2">
      <c r="A155" t="s">
        <v>33</v>
      </c>
      <c r="B155" s="3" t="s">
        <v>107</v>
      </c>
      <c r="C155" s="3">
        <v>8</v>
      </c>
      <c r="D155" s="1">
        <f t="shared" si="11"/>
        <v>278</v>
      </c>
    </row>
    <row r="156" spans="1:4" x14ac:dyDescent="0.2">
      <c r="A156" t="s">
        <v>8</v>
      </c>
      <c r="B156" s="3" t="s">
        <v>107</v>
      </c>
      <c r="C156" s="3">
        <v>1</v>
      </c>
      <c r="D156" s="1">
        <f t="shared" si="11"/>
        <v>278</v>
      </c>
    </row>
    <row r="157" spans="1:4" x14ac:dyDescent="0.2">
      <c r="A157" t="s">
        <v>8</v>
      </c>
      <c r="B157" s="3" t="s">
        <v>107</v>
      </c>
      <c r="C157" s="3">
        <v>2</v>
      </c>
      <c r="D157" s="1">
        <f t="shared" si="11"/>
        <v>278</v>
      </c>
    </row>
    <row r="158" spans="1:4" x14ac:dyDescent="0.2">
      <c r="A158" t="s">
        <v>8</v>
      </c>
      <c r="B158" s="3" t="s">
        <v>107</v>
      </c>
      <c r="C158" s="3">
        <v>3</v>
      </c>
      <c r="D158" s="1">
        <f t="shared" si="11"/>
        <v>278</v>
      </c>
    </row>
    <row r="159" spans="1:4" x14ac:dyDescent="0.2">
      <c r="A159" t="s">
        <v>8</v>
      </c>
      <c r="B159" s="3" t="s">
        <v>107</v>
      </c>
      <c r="C159" s="3">
        <v>4</v>
      </c>
      <c r="D159" s="1">
        <f t="shared" si="11"/>
        <v>278</v>
      </c>
    </row>
    <row r="160" spans="1:4" x14ac:dyDescent="0.2">
      <c r="A160" t="s">
        <v>8</v>
      </c>
      <c r="B160" s="3" t="s">
        <v>107</v>
      </c>
      <c r="C160" s="3">
        <v>5</v>
      </c>
      <c r="D160" s="1">
        <f t="shared" si="11"/>
        <v>278</v>
      </c>
    </row>
    <row r="161" spans="1:4" x14ac:dyDescent="0.2">
      <c r="A161" t="s">
        <v>8</v>
      </c>
      <c r="B161" s="3" t="s">
        <v>107</v>
      </c>
      <c r="C161" s="3">
        <v>6</v>
      </c>
      <c r="D161" s="1">
        <f t="shared" si="11"/>
        <v>278</v>
      </c>
    </row>
    <row r="162" spans="1:4" x14ac:dyDescent="0.2">
      <c r="A162" t="s">
        <v>8</v>
      </c>
      <c r="B162" s="3" t="s">
        <v>107</v>
      </c>
      <c r="C162" s="3">
        <v>7</v>
      </c>
      <c r="D162" s="1">
        <f t="shared" si="11"/>
        <v>278</v>
      </c>
    </row>
    <row r="163" spans="1:4" x14ac:dyDescent="0.2">
      <c r="A163" t="s">
        <v>8</v>
      </c>
      <c r="B163" s="3" t="s">
        <v>107</v>
      </c>
      <c r="C163" s="3">
        <v>8</v>
      </c>
      <c r="D163" s="1">
        <f t="shared" si="11"/>
        <v>278</v>
      </c>
    </row>
    <row r="164" spans="1:4" x14ac:dyDescent="0.2">
      <c r="A164" t="s">
        <v>12</v>
      </c>
      <c r="B164" s="3" t="s">
        <v>107</v>
      </c>
      <c r="C164" s="3">
        <v>1</v>
      </c>
      <c r="D164" s="1">
        <f t="shared" si="11"/>
        <v>278</v>
      </c>
    </row>
    <row r="165" spans="1:4" x14ac:dyDescent="0.2">
      <c r="A165" t="s">
        <v>12</v>
      </c>
      <c r="B165" s="3" t="s">
        <v>107</v>
      </c>
      <c r="C165" s="3">
        <v>2</v>
      </c>
      <c r="D165" s="1">
        <f t="shared" si="11"/>
        <v>278</v>
      </c>
    </row>
    <row r="166" spans="1:4" x14ac:dyDescent="0.2">
      <c r="A166" t="s">
        <v>12</v>
      </c>
      <c r="B166" s="3" t="s">
        <v>107</v>
      </c>
      <c r="C166" s="3">
        <v>3</v>
      </c>
      <c r="D166" s="1">
        <f t="shared" si="11"/>
        <v>278</v>
      </c>
    </row>
    <row r="167" spans="1:4" x14ac:dyDescent="0.2">
      <c r="A167" t="s">
        <v>12</v>
      </c>
      <c r="B167" s="3" t="s">
        <v>107</v>
      </c>
      <c r="C167" s="3">
        <v>4</v>
      </c>
      <c r="D167" s="1">
        <f t="shared" si="11"/>
        <v>278</v>
      </c>
    </row>
    <row r="168" spans="1:4" x14ac:dyDescent="0.2">
      <c r="A168" t="s">
        <v>12</v>
      </c>
      <c r="B168" s="3" t="s">
        <v>107</v>
      </c>
      <c r="C168" s="3">
        <v>5</v>
      </c>
      <c r="D168" s="1">
        <f t="shared" si="11"/>
        <v>278</v>
      </c>
    </row>
    <row r="169" spans="1:4" x14ac:dyDescent="0.2">
      <c r="A169" t="s">
        <v>12</v>
      </c>
      <c r="B169" s="3" t="s">
        <v>107</v>
      </c>
      <c r="C169" s="3">
        <v>6</v>
      </c>
      <c r="D169" s="1">
        <f t="shared" si="11"/>
        <v>278</v>
      </c>
    </row>
    <row r="170" spans="1:4" x14ac:dyDescent="0.2">
      <c r="A170" t="s">
        <v>12</v>
      </c>
      <c r="B170" s="3" t="s">
        <v>107</v>
      </c>
      <c r="C170" s="3">
        <v>7</v>
      </c>
      <c r="D170" s="1">
        <f t="shared" si="11"/>
        <v>278</v>
      </c>
    </row>
    <row r="171" spans="1:4" x14ac:dyDescent="0.2">
      <c r="A171" t="s">
        <v>12</v>
      </c>
      <c r="B171" s="3" t="s">
        <v>107</v>
      </c>
      <c r="C171" s="3">
        <v>8</v>
      </c>
      <c r="D171" s="1">
        <f t="shared" si="11"/>
        <v>278</v>
      </c>
    </row>
    <row r="172" spans="1:4" x14ac:dyDescent="0.2">
      <c r="A172" t="s">
        <v>14</v>
      </c>
      <c r="B172" s="3" t="s">
        <v>107</v>
      </c>
      <c r="C172" s="3">
        <v>1</v>
      </c>
      <c r="D172" s="1">
        <f t="shared" si="11"/>
        <v>278</v>
      </c>
    </row>
    <row r="173" spans="1:4" x14ac:dyDescent="0.2">
      <c r="A173" t="s">
        <v>14</v>
      </c>
      <c r="B173" s="3" t="s">
        <v>107</v>
      </c>
      <c r="C173" s="3">
        <v>2</v>
      </c>
      <c r="D173" s="1">
        <f t="shared" si="11"/>
        <v>278</v>
      </c>
    </row>
    <row r="174" spans="1:4" x14ac:dyDescent="0.2">
      <c r="A174" t="s">
        <v>14</v>
      </c>
      <c r="B174" s="3" t="s">
        <v>107</v>
      </c>
      <c r="C174" s="3">
        <v>3</v>
      </c>
      <c r="D174" s="1">
        <f t="shared" si="11"/>
        <v>278</v>
      </c>
    </row>
    <row r="175" spans="1:4" x14ac:dyDescent="0.2">
      <c r="A175" t="s">
        <v>14</v>
      </c>
      <c r="B175" s="3" t="s">
        <v>107</v>
      </c>
      <c r="C175" s="3">
        <v>4</v>
      </c>
      <c r="D175" s="1">
        <f t="shared" si="11"/>
        <v>278</v>
      </c>
    </row>
    <row r="176" spans="1:4" x14ac:dyDescent="0.2">
      <c r="A176" t="s">
        <v>14</v>
      </c>
      <c r="B176" s="3" t="s">
        <v>107</v>
      </c>
      <c r="C176" s="3">
        <v>5</v>
      </c>
      <c r="D176" s="1">
        <f t="shared" si="11"/>
        <v>278</v>
      </c>
    </row>
    <row r="177" spans="1:4" x14ac:dyDescent="0.2">
      <c r="A177" t="s">
        <v>14</v>
      </c>
      <c r="B177" s="3" t="s">
        <v>107</v>
      </c>
      <c r="C177" s="3">
        <v>6</v>
      </c>
      <c r="D177" s="1">
        <f t="shared" si="11"/>
        <v>278</v>
      </c>
    </row>
    <row r="178" spans="1:4" x14ac:dyDescent="0.2">
      <c r="A178" t="s">
        <v>14</v>
      </c>
      <c r="B178" s="3" t="s">
        <v>107</v>
      </c>
      <c r="C178" s="3">
        <v>7</v>
      </c>
      <c r="D178" s="1">
        <f t="shared" si="11"/>
        <v>278</v>
      </c>
    </row>
    <row r="179" spans="1:4" x14ac:dyDescent="0.2">
      <c r="A179" t="s">
        <v>14</v>
      </c>
      <c r="B179" s="3" t="s">
        <v>107</v>
      </c>
      <c r="C179" s="3">
        <v>8</v>
      </c>
      <c r="D179" s="1">
        <f t="shared" si="11"/>
        <v>278</v>
      </c>
    </row>
    <row r="180" spans="1:4" x14ac:dyDescent="0.2">
      <c r="A180" t="s">
        <v>15</v>
      </c>
      <c r="B180" s="3" t="s">
        <v>107</v>
      </c>
      <c r="C180" s="3">
        <v>1</v>
      </c>
      <c r="D180" s="1">
        <f t="shared" si="11"/>
        <v>278</v>
      </c>
    </row>
    <row r="181" spans="1:4" x14ac:dyDescent="0.2">
      <c r="A181" t="s">
        <v>15</v>
      </c>
      <c r="B181" s="3" t="s">
        <v>107</v>
      </c>
      <c r="C181" s="3">
        <v>2</v>
      </c>
      <c r="D181" s="1">
        <f t="shared" si="11"/>
        <v>278</v>
      </c>
    </row>
    <row r="182" spans="1:4" x14ac:dyDescent="0.2">
      <c r="A182" t="s">
        <v>15</v>
      </c>
      <c r="B182" s="3" t="s">
        <v>107</v>
      </c>
      <c r="C182" s="3">
        <v>3</v>
      </c>
      <c r="D182" s="1">
        <f t="shared" si="11"/>
        <v>278</v>
      </c>
    </row>
    <row r="183" spans="1:4" x14ac:dyDescent="0.2">
      <c r="A183" t="s">
        <v>15</v>
      </c>
      <c r="B183" s="3" t="s">
        <v>107</v>
      </c>
      <c r="C183" s="3">
        <v>4</v>
      </c>
      <c r="D183" s="1">
        <f t="shared" si="11"/>
        <v>278</v>
      </c>
    </row>
    <row r="184" spans="1:4" x14ac:dyDescent="0.2">
      <c r="A184" t="s">
        <v>15</v>
      </c>
      <c r="B184" s="3" t="s">
        <v>107</v>
      </c>
      <c r="C184" s="3">
        <v>5</v>
      </c>
      <c r="D184" s="1">
        <f t="shared" si="11"/>
        <v>278</v>
      </c>
    </row>
    <row r="185" spans="1:4" x14ac:dyDescent="0.2">
      <c r="A185" t="s">
        <v>15</v>
      </c>
      <c r="B185" s="3" t="s">
        <v>107</v>
      </c>
      <c r="C185" s="3">
        <v>6</v>
      </c>
      <c r="D185" s="1">
        <f t="shared" si="11"/>
        <v>278</v>
      </c>
    </row>
    <row r="186" spans="1:4" x14ac:dyDescent="0.2">
      <c r="A186" t="s">
        <v>15</v>
      </c>
      <c r="B186" s="3" t="s">
        <v>107</v>
      </c>
      <c r="C186" s="3">
        <v>7</v>
      </c>
      <c r="D186" s="1">
        <f t="shared" si="11"/>
        <v>278</v>
      </c>
    </row>
    <row r="187" spans="1:4" x14ac:dyDescent="0.2">
      <c r="A187" t="s">
        <v>15</v>
      </c>
      <c r="B187" s="3" t="s">
        <v>107</v>
      </c>
      <c r="C187" s="3">
        <v>8</v>
      </c>
      <c r="D187" s="1">
        <f t="shared" si="11"/>
        <v>278</v>
      </c>
    </row>
    <row r="188" spans="1:4" x14ac:dyDescent="0.2">
      <c r="A188" t="s">
        <v>2</v>
      </c>
      <c r="B188" s="3" t="s">
        <v>107</v>
      </c>
      <c r="C188" s="3">
        <v>1</v>
      </c>
      <c r="D188" s="1">
        <f t="shared" si="11"/>
        <v>278</v>
      </c>
    </row>
    <row r="189" spans="1:4" x14ac:dyDescent="0.2">
      <c r="A189" t="s">
        <v>2</v>
      </c>
      <c r="B189" s="3" t="s">
        <v>107</v>
      </c>
      <c r="C189" s="3">
        <v>2</v>
      </c>
      <c r="D189" s="1">
        <f t="shared" si="11"/>
        <v>278</v>
      </c>
    </row>
    <row r="190" spans="1:4" x14ac:dyDescent="0.2">
      <c r="A190" t="s">
        <v>2</v>
      </c>
      <c r="B190" s="3" t="s">
        <v>107</v>
      </c>
      <c r="C190" s="3">
        <v>3</v>
      </c>
      <c r="D190" s="1">
        <f t="shared" si="11"/>
        <v>278</v>
      </c>
    </row>
    <row r="191" spans="1:4" x14ac:dyDescent="0.2">
      <c r="A191" t="s">
        <v>2</v>
      </c>
      <c r="B191" s="3" t="s">
        <v>107</v>
      </c>
      <c r="C191" s="3">
        <v>4</v>
      </c>
      <c r="D191" s="1">
        <f t="shared" si="11"/>
        <v>278</v>
      </c>
    </row>
    <row r="192" spans="1:4" x14ac:dyDescent="0.2">
      <c r="A192" t="s">
        <v>2</v>
      </c>
      <c r="B192" s="3" t="s">
        <v>107</v>
      </c>
      <c r="C192" s="3">
        <v>5</v>
      </c>
      <c r="D192" s="1">
        <f t="shared" si="11"/>
        <v>278</v>
      </c>
    </row>
    <row r="193" spans="1:4" x14ac:dyDescent="0.2">
      <c r="A193" t="s">
        <v>2</v>
      </c>
      <c r="B193" s="3" t="s">
        <v>107</v>
      </c>
      <c r="C193" s="3">
        <v>6</v>
      </c>
      <c r="D193" s="1">
        <f t="shared" si="11"/>
        <v>278</v>
      </c>
    </row>
    <row r="194" spans="1:4" x14ac:dyDescent="0.2">
      <c r="A194" t="s">
        <v>2</v>
      </c>
      <c r="B194" s="3" t="s">
        <v>107</v>
      </c>
      <c r="C194" s="3">
        <v>7</v>
      </c>
      <c r="D194" s="1">
        <f t="shared" si="11"/>
        <v>278</v>
      </c>
    </row>
    <row r="195" spans="1:4" x14ac:dyDescent="0.2">
      <c r="A195" t="s">
        <v>2</v>
      </c>
      <c r="B195" s="3" t="s">
        <v>107</v>
      </c>
      <c r="C195" s="3">
        <v>8</v>
      </c>
      <c r="D195" s="1">
        <f t="shared" si="11"/>
        <v>278</v>
      </c>
    </row>
    <row r="196" spans="1:4" x14ac:dyDescent="0.2">
      <c r="A196" t="s">
        <v>3</v>
      </c>
      <c r="B196" s="3" t="s">
        <v>47</v>
      </c>
      <c r="C196" s="3">
        <v>1</v>
      </c>
      <c r="D196" s="1">
        <f t="shared" ref="D196:D235" si="12">SUMIF($H$35:$H$42,"="&amp;C196,$I$35:$I$42)*10^3</f>
        <v>708.56621205555405</v>
      </c>
    </row>
    <row r="197" spans="1:4" x14ac:dyDescent="0.2">
      <c r="A197" t="s">
        <v>3</v>
      </c>
      <c r="B197" s="3" t="s">
        <v>47</v>
      </c>
      <c r="C197" s="3">
        <v>2</v>
      </c>
      <c r="D197" s="1">
        <f t="shared" si="12"/>
        <v>766.59989221420733</v>
      </c>
    </row>
    <row r="198" spans="1:4" x14ac:dyDescent="0.2">
      <c r="A198" t="s">
        <v>3</v>
      </c>
      <c r="B198" s="3" t="s">
        <v>47</v>
      </c>
      <c r="C198" s="3">
        <v>3</v>
      </c>
      <c r="D198" s="1">
        <f t="shared" si="12"/>
        <v>833.67719768805</v>
      </c>
    </row>
    <row r="199" spans="1:4" x14ac:dyDescent="0.2">
      <c r="A199" t="s">
        <v>3</v>
      </c>
      <c r="B199" s="3" t="s">
        <v>47</v>
      </c>
      <c r="C199" s="3">
        <v>4</v>
      </c>
      <c r="D199" s="1">
        <f t="shared" si="12"/>
        <v>890.37706840374437</v>
      </c>
    </row>
    <row r="200" spans="1:4" x14ac:dyDescent="0.2">
      <c r="A200" t="s">
        <v>3</v>
      </c>
      <c r="B200" s="3" t="s">
        <v>47</v>
      </c>
      <c r="C200" s="3">
        <v>5</v>
      </c>
      <c r="D200" s="1">
        <f t="shared" si="12"/>
        <v>920.40174436493305</v>
      </c>
    </row>
    <row r="201" spans="1:4" x14ac:dyDescent="0.2">
      <c r="A201" t="s">
        <v>3</v>
      </c>
      <c r="B201" s="3" t="s">
        <v>47</v>
      </c>
      <c r="C201" s="3">
        <v>6</v>
      </c>
      <c r="D201" s="1">
        <f t="shared" si="12"/>
        <v>939.26882547782043</v>
      </c>
    </row>
    <row r="202" spans="1:4" x14ac:dyDescent="0.2">
      <c r="A202" t="s">
        <v>3</v>
      </c>
      <c r="B202" s="3" t="s">
        <v>47</v>
      </c>
      <c r="C202" s="3">
        <v>7</v>
      </c>
      <c r="D202" s="1">
        <f t="shared" si="12"/>
        <v>953.75282555102046</v>
      </c>
    </row>
    <row r="203" spans="1:4" x14ac:dyDescent="0.2">
      <c r="A203" t="s">
        <v>3</v>
      </c>
      <c r="B203" s="3" t="s">
        <v>47</v>
      </c>
      <c r="C203" s="3">
        <v>8</v>
      </c>
      <c r="D203" s="1">
        <f t="shared" si="12"/>
        <v>953.75282555102046</v>
      </c>
    </row>
    <row r="204" spans="1:4" x14ac:dyDescent="0.2">
      <c r="A204" t="s">
        <v>30</v>
      </c>
      <c r="B204" s="3" t="s">
        <v>47</v>
      </c>
      <c r="C204" s="3">
        <v>1</v>
      </c>
      <c r="D204" s="1">
        <f t="shared" si="12"/>
        <v>708.56621205555405</v>
      </c>
    </row>
    <row r="205" spans="1:4" x14ac:dyDescent="0.2">
      <c r="A205" t="s">
        <v>30</v>
      </c>
      <c r="B205" s="3" t="s">
        <v>47</v>
      </c>
      <c r="C205" s="3">
        <v>2</v>
      </c>
      <c r="D205" s="1">
        <f t="shared" si="12"/>
        <v>766.59989221420733</v>
      </c>
    </row>
    <row r="206" spans="1:4" x14ac:dyDescent="0.2">
      <c r="A206" t="s">
        <v>30</v>
      </c>
      <c r="B206" s="3" t="s">
        <v>47</v>
      </c>
      <c r="C206" s="3">
        <v>3</v>
      </c>
      <c r="D206" s="1">
        <f t="shared" si="12"/>
        <v>833.67719768805</v>
      </c>
    </row>
    <row r="207" spans="1:4" x14ac:dyDescent="0.2">
      <c r="A207" t="s">
        <v>30</v>
      </c>
      <c r="B207" s="3" t="s">
        <v>47</v>
      </c>
      <c r="C207" s="3">
        <v>4</v>
      </c>
      <c r="D207" s="1">
        <f t="shared" si="12"/>
        <v>890.37706840374437</v>
      </c>
    </row>
    <row r="208" spans="1:4" x14ac:dyDescent="0.2">
      <c r="A208" t="s">
        <v>30</v>
      </c>
      <c r="B208" s="3" t="s">
        <v>47</v>
      </c>
      <c r="C208" s="3">
        <v>5</v>
      </c>
      <c r="D208" s="1">
        <f t="shared" si="12"/>
        <v>920.40174436493305</v>
      </c>
    </row>
    <row r="209" spans="1:4" x14ac:dyDescent="0.2">
      <c r="A209" t="s">
        <v>30</v>
      </c>
      <c r="B209" s="3" t="s">
        <v>47</v>
      </c>
      <c r="C209" s="3">
        <v>6</v>
      </c>
      <c r="D209" s="1">
        <f t="shared" si="12"/>
        <v>939.26882547782043</v>
      </c>
    </row>
    <row r="210" spans="1:4" x14ac:dyDescent="0.2">
      <c r="A210" t="s">
        <v>30</v>
      </c>
      <c r="B210" s="3" t="s">
        <v>47</v>
      </c>
      <c r="C210" s="3">
        <v>7</v>
      </c>
      <c r="D210" s="1">
        <f t="shared" si="12"/>
        <v>953.75282555102046</v>
      </c>
    </row>
    <row r="211" spans="1:4" x14ac:dyDescent="0.2">
      <c r="A211" t="s">
        <v>30</v>
      </c>
      <c r="B211" s="3" t="s">
        <v>47</v>
      </c>
      <c r="C211" s="3">
        <v>8</v>
      </c>
      <c r="D211" s="1">
        <f t="shared" si="12"/>
        <v>953.75282555102046</v>
      </c>
    </row>
    <row r="212" spans="1:4" x14ac:dyDescent="0.2">
      <c r="A212" t="s">
        <v>31</v>
      </c>
      <c r="B212" s="3" t="s">
        <v>47</v>
      </c>
      <c r="C212" s="3">
        <v>1</v>
      </c>
      <c r="D212" s="1">
        <f t="shared" si="12"/>
        <v>708.56621205555405</v>
      </c>
    </row>
    <row r="213" spans="1:4" x14ac:dyDescent="0.2">
      <c r="A213" t="s">
        <v>31</v>
      </c>
      <c r="B213" s="3" t="s">
        <v>47</v>
      </c>
      <c r="C213" s="3">
        <v>2</v>
      </c>
      <c r="D213" s="1">
        <f t="shared" si="12"/>
        <v>766.59989221420733</v>
      </c>
    </row>
    <row r="214" spans="1:4" x14ac:dyDescent="0.2">
      <c r="A214" t="s">
        <v>31</v>
      </c>
      <c r="B214" s="3" t="s">
        <v>47</v>
      </c>
      <c r="C214" s="3">
        <v>3</v>
      </c>
      <c r="D214" s="1">
        <f t="shared" si="12"/>
        <v>833.67719768805</v>
      </c>
    </row>
    <row r="215" spans="1:4" x14ac:dyDescent="0.2">
      <c r="A215" t="s">
        <v>31</v>
      </c>
      <c r="B215" s="3" t="s">
        <v>47</v>
      </c>
      <c r="C215" s="3">
        <v>4</v>
      </c>
      <c r="D215" s="1">
        <f t="shared" si="12"/>
        <v>890.37706840374437</v>
      </c>
    </row>
    <row r="216" spans="1:4" x14ac:dyDescent="0.2">
      <c r="A216" t="s">
        <v>31</v>
      </c>
      <c r="B216" s="3" t="s">
        <v>47</v>
      </c>
      <c r="C216" s="3">
        <v>5</v>
      </c>
      <c r="D216" s="1">
        <f t="shared" si="12"/>
        <v>920.40174436493305</v>
      </c>
    </row>
    <row r="217" spans="1:4" x14ac:dyDescent="0.2">
      <c r="A217" t="s">
        <v>31</v>
      </c>
      <c r="B217" s="3" t="s">
        <v>47</v>
      </c>
      <c r="C217" s="3">
        <v>6</v>
      </c>
      <c r="D217" s="1">
        <f t="shared" si="12"/>
        <v>939.26882547782043</v>
      </c>
    </row>
    <row r="218" spans="1:4" x14ac:dyDescent="0.2">
      <c r="A218" t="s">
        <v>31</v>
      </c>
      <c r="B218" s="3" t="s">
        <v>47</v>
      </c>
      <c r="C218" s="3">
        <v>7</v>
      </c>
      <c r="D218" s="1">
        <f t="shared" si="12"/>
        <v>953.75282555102046</v>
      </c>
    </row>
    <row r="219" spans="1:4" x14ac:dyDescent="0.2">
      <c r="A219" t="s">
        <v>31</v>
      </c>
      <c r="B219" s="3" t="s">
        <v>47</v>
      </c>
      <c r="C219" s="3">
        <v>8</v>
      </c>
      <c r="D219" s="1">
        <f t="shared" si="12"/>
        <v>953.75282555102046</v>
      </c>
    </row>
    <row r="220" spans="1:4" x14ac:dyDescent="0.2">
      <c r="A220" t="s">
        <v>32</v>
      </c>
      <c r="B220" s="3" t="s">
        <v>47</v>
      </c>
      <c r="C220" s="3">
        <v>1</v>
      </c>
      <c r="D220" s="1">
        <f t="shared" si="12"/>
        <v>708.56621205555405</v>
      </c>
    </row>
    <row r="221" spans="1:4" x14ac:dyDescent="0.2">
      <c r="A221" t="s">
        <v>32</v>
      </c>
      <c r="B221" s="3" t="s">
        <v>47</v>
      </c>
      <c r="C221" s="3">
        <v>2</v>
      </c>
      <c r="D221" s="1">
        <f t="shared" si="12"/>
        <v>766.59989221420733</v>
      </c>
    </row>
    <row r="222" spans="1:4" x14ac:dyDescent="0.2">
      <c r="A222" t="s">
        <v>32</v>
      </c>
      <c r="B222" s="3" t="s">
        <v>47</v>
      </c>
      <c r="C222" s="3">
        <v>3</v>
      </c>
      <c r="D222" s="1">
        <f t="shared" si="12"/>
        <v>833.67719768805</v>
      </c>
    </row>
    <row r="223" spans="1:4" x14ac:dyDescent="0.2">
      <c r="A223" t="s">
        <v>32</v>
      </c>
      <c r="B223" s="3" t="s">
        <v>47</v>
      </c>
      <c r="C223" s="3">
        <v>4</v>
      </c>
      <c r="D223" s="1">
        <f t="shared" si="12"/>
        <v>890.37706840374437</v>
      </c>
    </row>
    <row r="224" spans="1:4" x14ac:dyDescent="0.2">
      <c r="A224" t="s">
        <v>32</v>
      </c>
      <c r="B224" s="3" t="s">
        <v>47</v>
      </c>
      <c r="C224" s="3">
        <v>5</v>
      </c>
      <c r="D224" s="1">
        <f t="shared" si="12"/>
        <v>920.40174436493305</v>
      </c>
    </row>
    <row r="225" spans="1:4" x14ac:dyDescent="0.2">
      <c r="A225" t="s">
        <v>32</v>
      </c>
      <c r="B225" s="3" t="s">
        <v>47</v>
      </c>
      <c r="C225" s="3">
        <v>6</v>
      </c>
      <c r="D225" s="1">
        <f t="shared" si="12"/>
        <v>939.26882547782043</v>
      </c>
    </row>
    <row r="226" spans="1:4" x14ac:dyDescent="0.2">
      <c r="A226" t="s">
        <v>32</v>
      </c>
      <c r="B226" s="3" t="s">
        <v>47</v>
      </c>
      <c r="C226" s="3">
        <v>7</v>
      </c>
      <c r="D226" s="1">
        <f t="shared" si="12"/>
        <v>953.75282555102046</v>
      </c>
    </row>
    <row r="227" spans="1:4" x14ac:dyDescent="0.2">
      <c r="A227" t="s">
        <v>32</v>
      </c>
      <c r="B227" s="3" t="s">
        <v>47</v>
      </c>
      <c r="C227" s="3">
        <v>8</v>
      </c>
      <c r="D227" s="1">
        <f t="shared" si="12"/>
        <v>953.75282555102046</v>
      </c>
    </row>
    <row r="228" spans="1:4" x14ac:dyDescent="0.2">
      <c r="A228" t="s">
        <v>10</v>
      </c>
      <c r="B228" s="3" t="s">
        <v>47</v>
      </c>
      <c r="C228" s="3">
        <v>1</v>
      </c>
      <c r="D228" s="1">
        <f t="shared" si="12"/>
        <v>708.56621205555405</v>
      </c>
    </row>
    <row r="229" spans="1:4" x14ac:dyDescent="0.2">
      <c r="A229" t="s">
        <v>10</v>
      </c>
      <c r="B229" s="3" t="s">
        <v>47</v>
      </c>
      <c r="C229" s="3">
        <v>2</v>
      </c>
      <c r="D229" s="1">
        <f t="shared" si="12"/>
        <v>766.59989221420733</v>
      </c>
    </row>
    <row r="230" spans="1:4" x14ac:dyDescent="0.2">
      <c r="A230" t="s">
        <v>10</v>
      </c>
      <c r="B230" s="3" t="s">
        <v>47</v>
      </c>
      <c r="C230" s="3">
        <v>3</v>
      </c>
      <c r="D230" s="1">
        <f t="shared" si="12"/>
        <v>833.67719768805</v>
      </c>
    </row>
    <row r="231" spans="1:4" x14ac:dyDescent="0.2">
      <c r="A231" t="s">
        <v>10</v>
      </c>
      <c r="B231" s="3" t="s">
        <v>47</v>
      </c>
      <c r="C231" s="3">
        <v>4</v>
      </c>
      <c r="D231" s="1">
        <f t="shared" si="12"/>
        <v>890.37706840374437</v>
      </c>
    </row>
    <row r="232" spans="1:4" x14ac:dyDescent="0.2">
      <c r="A232" t="s">
        <v>10</v>
      </c>
      <c r="B232" s="3" t="s">
        <v>47</v>
      </c>
      <c r="C232" s="3">
        <v>5</v>
      </c>
      <c r="D232" s="1">
        <f t="shared" si="12"/>
        <v>920.40174436493305</v>
      </c>
    </row>
    <row r="233" spans="1:4" x14ac:dyDescent="0.2">
      <c r="A233" t="s">
        <v>10</v>
      </c>
      <c r="B233" s="3" t="s">
        <v>47</v>
      </c>
      <c r="C233" s="3">
        <v>6</v>
      </c>
      <c r="D233" s="1">
        <f t="shared" si="12"/>
        <v>939.26882547782043</v>
      </c>
    </row>
    <row r="234" spans="1:4" x14ac:dyDescent="0.2">
      <c r="A234" t="s">
        <v>10</v>
      </c>
      <c r="B234" s="3" t="s">
        <v>47</v>
      </c>
      <c r="C234" s="3">
        <v>7</v>
      </c>
      <c r="D234" s="1">
        <f t="shared" si="12"/>
        <v>953.75282555102046</v>
      </c>
    </row>
    <row r="235" spans="1:4" x14ac:dyDescent="0.2">
      <c r="A235" t="s">
        <v>10</v>
      </c>
      <c r="B235" s="3" t="s">
        <v>47</v>
      </c>
      <c r="C235" s="3">
        <v>8</v>
      </c>
      <c r="D235" s="1">
        <f t="shared" si="12"/>
        <v>953.75282555102046</v>
      </c>
    </row>
  </sheetData>
  <autoFilter ref="A3:D195" xr:uid="{44AF2E0F-3704-A54D-966E-55ED9E66609D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725C-A0DC-5A4D-8BE4-2131224B2DB5}">
  <dimension ref="A1:S235"/>
  <sheetViews>
    <sheetView tabSelected="1" topLeftCell="A136" workbookViewId="0">
      <selection activeCell="D140" sqref="D140:D195"/>
    </sheetView>
  </sheetViews>
  <sheetFormatPr baseColWidth="10" defaultColWidth="11" defaultRowHeight="16" x14ac:dyDescent="0.2"/>
  <cols>
    <col min="4" max="4" width="11.83203125" bestFit="1" customWidth="1"/>
  </cols>
  <sheetData>
    <row r="1" spans="1:19" x14ac:dyDescent="0.2">
      <c r="A1" t="s">
        <v>85</v>
      </c>
    </row>
    <row r="2" spans="1:19" x14ac:dyDescent="0.2">
      <c r="A2" t="s">
        <v>86</v>
      </c>
    </row>
    <row r="3" spans="1:19" x14ac:dyDescent="0.2">
      <c r="A3" t="s">
        <v>17</v>
      </c>
      <c r="B3" t="s">
        <v>45</v>
      </c>
      <c r="C3" t="s">
        <v>41</v>
      </c>
      <c r="D3" t="s">
        <v>69</v>
      </c>
      <c r="I3" s="4" t="s">
        <v>128</v>
      </c>
    </row>
    <row r="4" spans="1:19" x14ac:dyDescent="0.2">
      <c r="A4" t="s">
        <v>34</v>
      </c>
      <c r="B4" t="s">
        <v>46</v>
      </c>
      <c r="C4">
        <v>1</v>
      </c>
      <c r="D4" s="7">
        <f t="shared" ref="D4:D11" si="0">$K$32</f>
        <v>2550.0000000000005</v>
      </c>
      <c r="I4" t="s">
        <v>17</v>
      </c>
      <c r="J4" t="s">
        <v>39</v>
      </c>
      <c r="K4" t="s">
        <v>40</v>
      </c>
    </row>
    <row r="5" spans="1:19" x14ac:dyDescent="0.2">
      <c r="A5" t="s">
        <v>34</v>
      </c>
      <c r="B5" t="s">
        <v>46</v>
      </c>
      <c r="C5">
        <v>2</v>
      </c>
      <c r="D5" s="7">
        <f t="shared" si="0"/>
        <v>2550.0000000000005</v>
      </c>
      <c r="I5" t="s">
        <v>1</v>
      </c>
      <c r="J5" s="2">
        <f>K5*$P$6</f>
        <v>1802000.0000000002</v>
      </c>
      <c r="K5" s="2">
        <f>2.65*10^6</f>
        <v>2650000</v>
      </c>
      <c r="P5" t="s">
        <v>55</v>
      </c>
    </row>
    <row r="6" spans="1:19" x14ac:dyDescent="0.2">
      <c r="A6" t="s">
        <v>34</v>
      </c>
      <c r="B6" t="s">
        <v>46</v>
      </c>
      <c r="C6">
        <v>3</v>
      </c>
      <c r="D6" s="7">
        <f t="shared" si="0"/>
        <v>2550.0000000000005</v>
      </c>
      <c r="I6" t="s">
        <v>7</v>
      </c>
      <c r="J6" s="2">
        <f t="shared" ref="J6:J14" si="1">K6*$P$6</f>
        <v>408000.00000000006</v>
      </c>
      <c r="K6" s="2">
        <f>6*10^5</f>
        <v>600000</v>
      </c>
      <c r="P6">
        <v>0.68</v>
      </c>
      <c r="R6">
        <v>35.314700000000002</v>
      </c>
      <c r="S6" t="s">
        <v>84</v>
      </c>
    </row>
    <row r="7" spans="1:19" x14ac:dyDescent="0.2">
      <c r="A7" t="s">
        <v>34</v>
      </c>
      <c r="B7" t="s">
        <v>46</v>
      </c>
      <c r="C7">
        <v>4</v>
      </c>
      <c r="D7" s="7">
        <f t="shared" si="0"/>
        <v>2550.0000000000005</v>
      </c>
      <c r="I7" t="s">
        <v>6</v>
      </c>
      <c r="J7" s="2">
        <f t="shared" si="1"/>
        <v>3821600.0000000005</v>
      </c>
      <c r="K7" s="2">
        <f>5.62*10^6</f>
        <v>5620000</v>
      </c>
    </row>
    <row r="8" spans="1:19" x14ac:dyDescent="0.2">
      <c r="A8" t="s">
        <v>34</v>
      </c>
      <c r="B8" t="s">
        <v>46</v>
      </c>
      <c r="C8">
        <v>5</v>
      </c>
      <c r="D8" s="7">
        <f t="shared" si="0"/>
        <v>2550.0000000000005</v>
      </c>
      <c r="I8" t="s">
        <v>27</v>
      </c>
      <c r="J8" s="2">
        <f t="shared" si="1"/>
        <v>2763520</v>
      </c>
      <c r="K8" s="2">
        <f>4.064*10^6</f>
        <v>4064000</v>
      </c>
    </row>
    <row r="9" spans="1:19" x14ac:dyDescent="0.2">
      <c r="A9" t="s">
        <v>34</v>
      </c>
      <c r="B9" t="s">
        <v>46</v>
      </c>
      <c r="C9">
        <v>6</v>
      </c>
      <c r="D9" s="7">
        <f t="shared" si="0"/>
        <v>2550.0000000000005</v>
      </c>
      <c r="I9" t="s">
        <v>9</v>
      </c>
      <c r="J9" s="2">
        <f t="shared" si="1"/>
        <v>2133160</v>
      </c>
      <c r="K9" s="2">
        <f>3.137*10^6</f>
        <v>3137000</v>
      </c>
    </row>
    <row r="10" spans="1:19" x14ac:dyDescent="0.2">
      <c r="A10" t="s">
        <v>34</v>
      </c>
      <c r="B10" t="s">
        <v>46</v>
      </c>
      <c r="C10">
        <v>7</v>
      </c>
      <c r="D10" s="7">
        <f t="shared" si="0"/>
        <v>2550.0000000000005</v>
      </c>
      <c r="I10" t="s">
        <v>33</v>
      </c>
      <c r="J10" s="2">
        <f t="shared" si="1"/>
        <v>312800</v>
      </c>
      <c r="K10" s="2">
        <v>460000</v>
      </c>
    </row>
    <row r="11" spans="1:19" x14ac:dyDescent="0.2">
      <c r="A11" t="s">
        <v>34</v>
      </c>
      <c r="B11" t="s">
        <v>46</v>
      </c>
      <c r="C11">
        <v>8</v>
      </c>
      <c r="D11" s="7">
        <f t="shared" si="0"/>
        <v>2550.0000000000005</v>
      </c>
      <c r="I11" t="s">
        <v>11</v>
      </c>
      <c r="J11" s="2">
        <f t="shared" si="1"/>
        <v>1428000</v>
      </c>
      <c r="K11" s="2">
        <f>2.1*10^6</f>
        <v>2100000</v>
      </c>
    </row>
    <row r="12" spans="1:19" x14ac:dyDescent="0.2">
      <c r="A12" t="s">
        <v>35</v>
      </c>
      <c r="B12" t="s">
        <v>46</v>
      </c>
      <c r="C12">
        <v>1</v>
      </c>
      <c r="D12" s="7">
        <f t="shared" ref="D12:D19" si="2">$K$33</f>
        <v>4094.1666666666665</v>
      </c>
      <c r="I12" t="s">
        <v>12</v>
      </c>
      <c r="J12" s="2">
        <f t="shared" si="1"/>
        <v>1043120.0000000001</v>
      </c>
      <c r="K12" s="2">
        <f>1.534*10^6</f>
        <v>1534000</v>
      </c>
    </row>
    <row r="13" spans="1:19" x14ac:dyDescent="0.2">
      <c r="A13" t="s">
        <v>35</v>
      </c>
      <c r="B13" t="s">
        <v>46</v>
      </c>
      <c r="C13">
        <v>2</v>
      </c>
      <c r="D13" s="7">
        <f t="shared" si="2"/>
        <v>4094.1666666666665</v>
      </c>
      <c r="I13" t="s">
        <v>13</v>
      </c>
      <c r="J13" s="2">
        <f t="shared" si="1"/>
        <v>918000.00000000012</v>
      </c>
      <c r="K13" s="2">
        <v>1350000</v>
      </c>
    </row>
    <row r="14" spans="1:19" x14ac:dyDescent="0.2">
      <c r="A14" t="s">
        <v>35</v>
      </c>
      <c r="B14" t="s">
        <v>46</v>
      </c>
      <c r="C14">
        <v>3</v>
      </c>
      <c r="D14" s="7">
        <f t="shared" si="2"/>
        <v>4094.1666666666665</v>
      </c>
      <c r="I14" t="s">
        <v>5</v>
      </c>
      <c r="J14" s="2">
        <f t="shared" si="1"/>
        <v>5210704</v>
      </c>
      <c r="K14" s="2">
        <f>7.6628*10^6</f>
        <v>7662800</v>
      </c>
    </row>
    <row r="15" spans="1:19" x14ac:dyDescent="0.2">
      <c r="A15" t="s">
        <v>35</v>
      </c>
      <c r="B15" t="s">
        <v>46</v>
      </c>
      <c r="C15">
        <v>4</v>
      </c>
      <c r="D15" s="7">
        <f t="shared" si="2"/>
        <v>4094.1666666666665</v>
      </c>
      <c r="I15" t="s">
        <v>50</v>
      </c>
      <c r="J15" s="2">
        <f>K15*$P$6</f>
        <v>4236400</v>
      </c>
      <c r="K15" s="2">
        <v>6230000</v>
      </c>
    </row>
    <row r="16" spans="1:19" x14ac:dyDescent="0.2">
      <c r="A16" t="s">
        <v>35</v>
      </c>
      <c r="B16" t="s">
        <v>46</v>
      </c>
      <c r="C16">
        <v>5</v>
      </c>
      <c r="D16" s="7">
        <f t="shared" si="2"/>
        <v>4094.1666666666665</v>
      </c>
      <c r="I16" t="s">
        <v>3</v>
      </c>
      <c r="J16" s="2">
        <f t="shared" ref="J16:J20" si="3">K16*$P$6</f>
        <v>2791726.0273972605</v>
      </c>
      <c r="K16" s="2">
        <f>1.4*10^6+(5+12+2.2+4.5)*10^9/8760</f>
        <v>4105479.4520547944</v>
      </c>
    </row>
    <row r="17" spans="1:12" x14ac:dyDescent="0.2">
      <c r="A17" t="s">
        <v>35</v>
      </c>
      <c r="B17" t="s">
        <v>46</v>
      </c>
      <c r="C17">
        <v>6</v>
      </c>
      <c r="D17" s="7">
        <f t="shared" si="2"/>
        <v>4094.1666666666665</v>
      </c>
      <c r="I17" t="s">
        <v>30</v>
      </c>
      <c r="J17" s="2">
        <f t="shared" si="3"/>
        <v>504566.21004566213</v>
      </c>
      <c r="K17">
        <f>(2.5+4)*10^9/8760</f>
        <v>742009.13242009131</v>
      </c>
    </row>
    <row r="18" spans="1:12" x14ac:dyDescent="0.2">
      <c r="A18" t="s">
        <v>35</v>
      </c>
      <c r="B18" t="s">
        <v>46</v>
      </c>
      <c r="C18">
        <v>7</v>
      </c>
      <c r="D18" s="7">
        <f t="shared" si="2"/>
        <v>4094.1666666666665</v>
      </c>
      <c r="I18" t="s">
        <v>31</v>
      </c>
      <c r="J18" s="2">
        <f t="shared" si="3"/>
        <v>388127.85388127854</v>
      </c>
      <c r="K18">
        <f>5*10^9/8760</f>
        <v>570776.25570776255</v>
      </c>
    </row>
    <row r="19" spans="1:12" x14ac:dyDescent="0.2">
      <c r="A19" t="s">
        <v>35</v>
      </c>
      <c r="B19" t="s">
        <v>46</v>
      </c>
      <c r="C19">
        <v>8</v>
      </c>
      <c r="D19" s="7">
        <f t="shared" si="2"/>
        <v>4094.1666666666665</v>
      </c>
      <c r="I19" t="s">
        <v>32</v>
      </c>
      <c r="J19" s="2">
        <f t="shared" si="3"/>
        <v>807305.93607305945</v>
      </c>
      <c r="K19">
        <f>(7.8+2.6)*10^9/8760</f>
        <v>1187214.6118721461</v>
      </c>
    </row>
    <row r="20" spans="1:12" x14ac:dyDescent="0.2">
      <c r="A20" t="s">
        <v>70</v>
      </c>
      <c r="B20" t="s">
        <v>46</v>
      </c>
      <c r="C20">
        <v>1</v>
      </c>
      <c r="D20" s="7">
        <f t="shared" ref="D20:D27" si="4">$K$34</f>
        <v>2380.0000000000005</v>
      </c>
      <c r="I20" t="s">
        <v>10</v>
      </c>
      <c r="J20" s="2">
        <f t="shared" si="3"/>
        <v>476000.00000000006</v>
      </c>
      <c r="K20">
        <f>7*10^5</f>
        <v>700000</v>
      </c>
    </row>
    <row r="21" spans="1:12" x14ac:dyDescent="0.2">
      <c r="A21" t="s">
        <v>70</v>
      </c>
      <c r="B21" t="s">
        <v>46</v>
      </c>
      <c r="C21">
        <v>2</v>
      </c>
      <c r="D21" s="7">
        <f t="shared" si="4"/>
        <v>2380.0000000000005</v>
      </c>
    </row>
    <row r="22" spans="1:12" x14ac:dyDescent="0.2">
      <c r="A22" t="s">
        <v>70</v>
      </c>
      <c r="B22" t="s">
        <v>46</v>
      </c>
      <c r="C22">
        <v>3</v>
      </c>
      <c r="D22" s="7">
        <f t="shared" si="4"/>
        <v>2380.0000000000005</v>
      </c>
    </row>
    <row r="23" spans="1:12" x14ac:dyDescent="0.2">
      <c r="A23" t="s">
        <v>70</v>
      </c>
      <c r="B23" t="s">
        <v>46</v>
      </c>
      <c r="C23">
        <v>4</v>
      </c>
      <c r="D23" s="7">
        <f t="shared" si="4"/>
        <v>2380.0000000000005</v>
      </c>
    </row>
    <row r="24" spans="1:12" x14ac:dyDescent="0.2">
      <c r="A24" t="s">
        <v>70</v>
      </c>
      <c r="B24" t="s">
        <v>46</v>
      </c>
      <c r="C24">
        <v>5</v>
      </c>
      <c r="D24" s="7">
        <f t="shared" si="4"/>
        <v>2380.0000000000005</v>
      </c>
      <c r="I24" s="4" t="s">
        <v>53</v>
      </c>
      <c r="L24" s="4" t="s">
        <v>79</v>
      </c>
    </row>
    <row r="25" spans="1:12" x14ac:dyDescent="0.2">
      <c r="A25" t="s">
        <v>70</v>
      </c>
      <c r="B25" t="s">
        <v>46</v>
      </c>
      <c r="C25">
        <v>6</v>
      </c>
      <c r="D25" s="7">
        <f t="shared" si="4"/>
        <v>2380.0000000000005</v>
      </c>
      <c r="I25" t="s">
        <v>17</v>
      </c>
      <c r="J25" t="s">
        <v>51</v>
      </c>
      <c r="K25" t="s">
        <v>52</v>
      </c>
      <c r="L25" s="8" t="s">
        <v>81</v>
      </c>
    </row>
    <row r="26" spans="1:12" x14ac:dyDescent="0.2">
      <c r="A26" t="s">
        <v>70</v>
      </c>
      <c r="B26" t="s">
        <v>46</v>
      </c>
      <c r="C26">
        <v>7</v>
      </c>
      <c r="D26" s="7">
        <f t="shared" si="4"/>
        <v>2380.0000000000005</v>
      </c>
      <c r="I26" t="s">
        <v>5</v>
      </c>
      <c r="J26">
        <f>K26/8760*$P$6*10^9</f>
        <v>1921913.314862584</v>
      </c>
      <c r="K26">
        <v>24.758765644406228</v>
      </c>
      <c r="L26" s="8" t="s">
        <v>81</v>
      </c>
    </row>
    <row r="27" spans="1:12" x14ac:dyDescent="0.2">
      <c r="A27" t="s">
        <v>70</v>
      </c>
      <c r="B27" t="s">
        <v>46</v>
      </c>
      <c r="C27">
        <v>8</v>
      </c>
      <c r="D27" s="7">
        <f t="shared" si="4"/>
        <v>2380.0000000000005</v>
      </c>
      <c r="I27" t="s">
        <v>9</v>
      </c>
      <c r="J27">
        <f>K27/8760*$P$6*10^9</f>
        <v>6817601.0561142191</v>
      </c>
      <c r="K27">
        <f>38.0400438596491+13.4866991573517+36.3</f>
        <v>87.826743017000808</v>
      </c>
      <c r="L27" s="8" t="s">
        <v>80</v>
      </c>
    </row>
    <row r="28" spans="1:12" x14ac:dyDescent="0.2">
      <c r="A28" t="s">
        <v>50</v>
      </c>
      <c r="B28" t="s">
        <v>46</v>
      </c>
      <c r="C28">
        <v>1</v>
      </c>
      <c r="D28" s="7">
        <f>1.1*10^12/$R$6*$P$6/10^3/8760</f>
        <v>2417.9202387074301</v>
      </c>
      <c r="E28" s="4" t="s">
        <v>83</v>
      </c>
    </row>
    <row r="29" spans="1:12" x14ac:dyDescent="0.2">
      <c r="A29" t="s">
        <v>50</v>
      </c>
      <c r="B29" t="s">
        <v>46</v>
      </c>
      <c r="C29">
        <v>2</v>
      </c>
      <c r="D29" s="7">
        <f t="shared" ref="D29:D35" si="5">1.1*10^12/$R$6*$P$6/10^3/8760</f>
        <v>2417.9202387074301</v>
      </c>
    </row>
    <row r="30" spans="1:12" x14ac:dyDescent="0.2">
      <c r="A30" t="s">
        <v>50</v>
      </c>
      <c r="B30" t="s">
        <v>46</v>
      </c>
      <c r="C30">
        <v>3</v>
      </c>
      <c r="D30" s="7">
        <f t="shared" si="5"/>
        <v>2417.9202387074301</v>
      </c>
      <c r="I30" s="4" t="s">
        <v>72</v>
      </c>
    </row>
    <row r="31" spans="1:12" x14ac:dyDescent="0.2">
      <c r="A31" t="s">
        <v>50</v>
      </c>
      <c r="B31" t="s">
        <v>46</v>
      </c>
      <c r="C31">
        <v>4</v>
      </c>
      <c r="D31" s="7">
        <f t="shared" si="5"/>
        <v>2417.9202387074301</v>
      </c>
      <c r="I31" s="4" t="s">
        <v>73</v>
      </c>
      <c r="J31" s="4" t="s">
        <v>77</v>
      </c>
      <c r="K31" s="4" t="s">
        <v>78</v>
      </c>
    </row>
    <row r="32" spans="1:12" x14ac:dyDescent="0.2">
      <c r="A32" t="s">
        <v>50</v>
      </c>
      <c r="B32" t="s">
        <v>46</v>
      </c>
      <c r="C32">
        <v>5</v>
      </c>
      <c r="D32" s="7">
        <f t="shared" si="5"/>
        <v>2417.9202387074301</v>
      </c>
      <c r="I32" t="s">
        <v>74</v>
      </c>
      <c r="J32">
        <v>90</v>
      </c>
      <c r="K32">
        <f>J32*10^6*$P$6/1000/24</f>
        <v>2550.0000000000005</v>
      </c>
    </row>
    <row r="33" spans="1:11" x14ac:dyDescent="0.2">
      <c r="A33" t="s">
        <v>50</v>
      </c>
      <c r="B33" t="s">
        <v>46</v>
      </c>
      <c r="C33">
        <v>6</v>
      </c>
      <c r="D33" s="7">
        <f t="shared" si="5"/>
        <v>2417.9202387074301</v>
      </c>
      <c r="I33" t="s">
        <v>75</v>
      </c>
      <c r="J33">
        <v>144.5</v>
      </c>
      <c r="K33">
        <f>J33*10^6*$P$6/1000/24</f>
        <v>4094.1666666666665</v>
      </c>
    </row>
    <row r="34" spans="1:11" x14ac:dyDescent="0.2">
      <c r="A34" t="s">
        <v>50</v>
      </c>
      <c r="B34" t="s">
        <v>46</v>
      </c>
      <c r="C34">
        <v>7</v>
      </c>
      <c r="D34" s="7">
        <f t="shared" si="5"/>
        <v>2417.9202387074301</v>
      </c>
      <c r="I34" t="s">
        <v>76</v>
      </c>
      <c r="J34">
        <v>84</v>
      </c>
      <c r="K34">
        <f>J34*10^6*$P$6/1000/24</f>
        <v>2380.0000000000005</v>
      </c>
    </row>
    <row r="35" spans="1:11" x14ac:dyDescent="0.2">
      <c r="A35" t="s">
        <v>50</v>
      </c>
      <c r="B35" t="s">
        <v>46</v>
      </c>
      <c r="C35">
        <v>8</v>
      </c>
      <c r="D35" s="7">
        <f t="shared" si="5"/>
        <v>2417.9202387074301</v>
      </c>
    </row>
    <row r="36" spans="1:11" x14ac:dyDescent="0.2">
      <c r="A36" t="s">
        <v>50</v>
      </c>
      <c r="B36" t="s">
        <v>47</v>
      </c>
      <c r="C36">
        <v>1</v>
      </c>
      <c r="D36" s="7">
        <f>SUMIF($I$5:$I$20,"="&amp;A36,$J$5:$J$20)/10^3</f>
        <v>4236.3999999999996</v>
      </c>
    </row>
    <row r="37" spans="1:11" x14ac:dyDescent="0.2">
      <c r="A37" t="s">
        <v>50</v>
      </c>
      <c r="B37" t="s">
        <v>47</v>
      </c>
      <c r="C37">
        <v>2</v>
      </c>
      <c r="D37" s="7">
        <f t="shared" ref="D37:D51" si="6">SUMIF($I$5:$I$20,"="&amp;A37,$J$5:$J$20)/10^3</f>
        <v>4236.3999999999996</v>
      </c>
    </row>
    <row r="38" spans="1:11" x14ac:dyDescent="0.2">
      <c r="A38" t="s">
        <v>50</v>
      </c>
      <c r="B38" t="s">
        <v>47</v>
      </c>
      <c r="C38">
        <v>3</v>
      </c>
      <c r="D38" s="7">
        <f t="shared" si="6"/>
        <v>4236.3999999999996</v>
      </c>
    </row>
    <row r="39" spans="1:11" x14ac:dyDescent="0.2">
      <c r="A39" t="s">
        <v>50</v>
      </c>
      <c r="B39" t="s">
        <v>47</v>
      </c>
      <c r="C39">
        <v>4</v>
      </c>
      <c r="D39" s="7">
        <f t="shared" si="6"/>
        <v>4236.3999999999996</v>
      </c>
    </row>
    <row r="40" spans="1:11" x14ac:dyDescent="0.2">
      <c r="A40" t="s">
        <v>50</v>
      </c>
      <c r="B40" t="s">
        <v>47</v>
      </c>
      <c r="C40">
        <v>5</v>
      </c>
      <c r="D40" s="7">
        <f t="shared" si="6"/>
        <v>4236.3999999999996</v>
      </c>
    </row>
    <row r="41" spans="1:11" x14ac:dyDescent="0.2">
      <c r="A41" t="s">
        <v>50</v>
      </c>
      <c r="B41" t="s">
        <v>47</v>
      </c>
      <c r="C41">
        <v>6</v>
      </c>
      <c r="D41" s="7">
        <f t="shared" si="6"/>
        <v>4236.3999999999996</v>
      </c>
    </row>
    <row r="42" spans="1:11" x14ac:dyDescent="0.2">
      <c r="A42" t="s">
        <v>50</v>
      </c>
      <c r="B42" t="s">
        <v>47</v>
      </c>
      <c r="C42">
        <v>7</v>
      </c>
      <c r="D42" s="7">
        <f t="shared" si="6"/>
        <v>4236.3999999999996</v>
      </c>
    </row>
    <row r="43" spans="1:11" x14ac:dyDescent="0.2">
      <c r="A43" t="s">
        <v>50</v>
      </c>
      <c r="B43" t="s">
        <v>47</v>
      </c>
      <c r="C43">
        <v>8</v>
      </c>
      <c r="D43" s="7">
        <f t="shared" si="6"/>
        <v>4236.3999999999996</v>
      </c>
    </row>
    <row r="44" spans="1:11" x14ac:dyDescent="0.2">
      <c r="A44" t="s">
        <v>5</v>
      </c>
      <c r="B44" t="s">
        <v>47</v>
      </c>
      <c r="C44">
        <v>1</v>
      </c>
      <c r="D44" s="7">
        <f t="shared" si="6"/>
        <v>5210.7039999999997</v>
      </c>
    </row>
    <row r="45" spans="1:11" x14ac:dyDescent="0.2">
      <c r="A45" t="s">
        <v>5</v>
      </c>
      <c r="B45" t="s">
        <v>47</v>
      </c>
      <c r="C45">
        <v>2</v>
      </c>
      <c r="D45" s="7">
        <f t="shared" si="6"/>
        <v>5210.7039999999997</v>
      </c>
    </row>
    <row r="46" spans="1:11" x14ac:dyDescent="0.2">
      <c r="A46" t="s">
        <v>5</v>
      </c>
      <c r="B46" t="s">
        <v>47</v>
      </c>
      <c r="C46">
        <v>3</v>
      </c>
      <c r="D46" s="7">
        <f t="shared" si="6"/>
        <v>5210.7039999999997</v>
      </c>
    </row>
    <row r="47" spans="1:11" x14ac:dyDescent="0.2">
      <c r="A47" t="s">
        <v>5</v>
      </c>
      <c r="B47" t="s">
        <v>47</v>
      </c>
      <c r="C47">
        <v>4</v>
      </c>
      <c r="D47" s="7">
        <f t="shared" si="6"/>
        <v>5210.7039999999997</v>
      </c>
    </row>
    <row r="48" spans="1:11" x14ac:dyDescent="0.2">
      <c r="A48" t="s">
        <v>5</v>
      </c>
      <c r="B48" t="s">
        <v>47</v>
      </c>
      <c r="C48">
        <v>5</v>
      </c>
      <c r="D48" s="7">
        <f t="shared" si="6"/>
        <v>5210.7039999999997</v>
      </c>
    </row>
    <row r="49" spans="1:4" x14ac:dyDescent="0.2">
      <c r="A49" t="s">
        <v>5</v>
      </c>
      <c r="B49" t="s">
        <v>47</v>
      </c>
      <c r="C49">
        <v>6</v>
      </c>
      <c r="D49" s="7">
        <f t="shared" si="6"/>
        <v>5210.7039999999997</v>
      </c>
    </row>
    <row r="50" spans="1:4" x14ac:dyDescent="0.2">
      <c r="A50" t="s">
        <v>5</v>
      </c>
      <c r="B50" t="s">
        <v>47</v>
      </c>
      <c r="C50">
        <v>7</v>
      </c>
      <c r="D50" s="7">
        <f t="shared" si="6"/>
        <v>5210.7039999999997</v>
      </c>
    </row>
    <row r="51" spans="1:4" x14ac:dyDescent="0.2">
      <c r="A51" t="s">
        <v>5</v>
      </c>
      <c r="B51" t="s">
        <v>47</v>
      </c>
      <c r="C51">
        <v>8</v>
      </c>
      <c r="D51" s="7">
        <f t="shared" si="6"/>
        <v>5210.7039999999997</v>
      </c>
    </row>
    <row r="52" spans="1:4" x14ac:dyDescent="0.2">
      <c r="A52" t="s">
        <v>5</v>
      </c>
      <c r="B52" s="3" t="s">
        <v>48</v>
      </c>
      <c r="C52">
        <v>1</v>
      </c>
      <c r="D52" s="7">
        <f>SUMIF($I$26:$I$27,"="&amp;A52,$J$26:$J$27)/10^3</f>
        <v>1921.913314862584</v>
      </c>
    </row>
    <row r="53" spans="1:4" x14ac:dyDescent="0.2">
      <c r="A53" t="s">
        <v>5</v>
      </c>
      <c r="B53" s="3" t="s">
        <v>48</v>
      </c>
      <c r="C53">
        <v>2</v>
      </c>
      <c r="D53" s="7">
        <f t="shared" ref="D53:D59" si="7">SUMIF($I$26:$I$27,"="&amp;A53,$J$26:$J$27)/10^3</f>
        <v>1921.913314862584</v>
      </c>
    </row>
    <row r="54" spans="1:4" x14ac:dyDescent="0.2">
      <c r="A54" t="s">
        <v>5</v>
      </c>
      <c r="B54" s="3" t="s">
        <v>48</v>
      </c>
      <c r="C54">
        <v>3</v>
      </c>
      <c r="D54" s="7">
        <f t="shared" si="7"/>
        <v>1921.913314862584</v>
      </c>
    </row>
    <row r="55" spans="1:4" x14ac:dyDescent="0.2">
      <c r="A55" t="s">
        <v>5</v>
      </c>
      <c r="B55" s="3" t="s">
        <v>48</v>
      </c>
      <c r="C55">
        <v>4</v>
      </c>
      <c r="D55" s="7">
        <f t="shared" si="7"/>
        <v>1921.913314862584</v>
      </c>
    </row>
    <row r="56" spans="1:4" x14ac:dyDescent="0.2">
      <c r="A56" t="s">
        <v>5</v>
      </c>
      <c r="B56" s="3" t="s">
        <v>48</v>
      </c>
      <c r="C56">
        <v>5</v>
      </c>
      <c r="D56" s="7">
        <f t="shared" si="7"/>
        <v>1921.913314862584</v>
      </c>
    </row>
    <row r="57" spans="1:4" x14ac:dyDescent="0.2">
      <c r="A57" t="s">
        <v>5</v>
      </c>
      <c r="B57" s="3" t="s">
        <v>48</v>
      </c>
      <c r="C57">
        <v>6</v>
      </c>
      <c r="D57" s="7">
        <f t="shared" si="7"/>
        <v>1921.913314862584</v>
      </c>
    </row>
    <row r="58" spans="1:4" x14ac:dyDescent="0.2">
      <c r="A58" t="s">
        <v>5</v>
      </c>
      <c r="B58" s="3" t="s">
        <v>48</v>
      </c>
      <c r="C58">
        <v>7</v>
      </c>
      <c r="D58" s="7">
        <f t="shared" si="7"/>
        <v>1921.913314862584</v>
      </c>
    </row>
    <row r="59" spans="1:4" x14ac:dyDescent="0.2">
      <c r="A59" t="s">
        <v>5</v>
      </c>
      <c r="B59" s="3" t="s">
        <v>48</v>
      </c>
      <c r="C59">
        <v>8</v>
      </c>
      <c r="D59" s="7">
        <f t="shared" si="7"/>
        <v>1921.913314862584</v>
      </c>
    </row>
    <row r="60" spans="1:4" x14ac:dyDescent="0.2">
      <c r="A60" t="s">
        <v>9</v>
      </c>
      <c r="B60" t="s">
        <v>47</v>
      </c>
      <c r="C60">
        <v>1</v>
      </c>
      <c r="D60" s="7">
        <f t="shared" ref="D60:D67" si="8">SUMIF($I$5:$I$20,"="&amp;A60,$J$5:$J$20)/10^3</f>
        <v>2133.16</v>
      </c>
    </row>
    <row r="61" spans="1:4" x14ac:dyDescent="0.2">
      <c r="A61" t="s">
        <v>9</v>
      </c>
      <c r="B61" t="s">
        <v>47</v>
      </c>
      <c r="C61">
        <v>2</v>
      </c>
      <c r="D61" s="7">
        <f t="shared" si="8"/>
        <v>2133.16</v>
      </c>
    </row>
    <row r="62" spans="1:4" x14ac:dyDescent="0.2">
      <c r="A62" t="s">
        <v>9</v>
      </c>
      <c r="B62" t="s">
        <v>47</v>
      </c>
      <c r="C62">
        <v>3</v>
      </c>
      <c r="D62" s="7">
        <f t="shared" si="8"/>
        <v>2133.16</v>
      </c>
    </row>
    <row r="63" spans="1:4" x14ac:dyDescent="0.2">
      <c r="A63" t="s">
        <v>9</v>
      </c>
      <c r="B63" t="s">
        <v>47</v>
      </c>
      <c r="C63">
        <v>4</v>
      </c>
      <c r="D63" s="7">
        <f t="shared" si="8"/>
        <v>2133.16</v>
      </c>
    </row>
    <row r="64" spans="1:4" x14ac:dyDescent="0.2">
      <c r="A64" t="s">
        <v>9</v>
      </c>
      <c r="B64" t="s">
        <v>47</v>
      </c>
      <c r="C64">
        <v>5</v>
      </c>
      <c r="D64" s="7">
        <f t="shared" si="8"/>
        <v>2133.16</v>
      </c>
    </row>
    <row r="65" spans="1:4" x14ac:dyDescent="0.2">
      <c r="A65" t="s">
        <v>9</v>
      </c>
      <c r="B65" t="s">
        <v>47</v>
      </c>
      <c r="C65">
        <v>6</v>
      </c>
      <c r="D65" s="7">
        <f t="shared" si="8"/>
        <v>2133.16</v>
      </c>
    </row>
    <row r="66" spans="1:4" x14ac:dyDescent="0.2">
      <c r="A66" t="s">
        <v>9</v>
      </c>
      <c r="B66" t="s">
        <v>47</v>
      </c>
      <c r="C66">
        <v>7</v>
      </c>
      <c r="D66" s="7">
        <f t="shared" si="8"/>
        <v>2133.16</v>
      </c>
    </row>
    <row r="67" spans="1:4" x14ac:dyDescent="0.2">
      <c r="A67" t="s">
        <v>9</v>
      </c>
      <c r="B67" t="s">
        <v>47</v>
      </c>
      <c r="C67">
        <v>8</v>
      </c>
      <c r="D67" s="7">
        <f t="shared" si="8"/>
        <v>2133.16</v>
      </c>
    </row>
    <row r="68" spans="1:4" x14ac:dyDescent="0.2">
      <c r="A68" t="s">
        <v>9</v>
      </c>
      <c r="B68" s="3" t="s">
        <v>48</v>
      </c>
      <c r="C68">
        <v>1</v>
      </c>
      <c r="D68" s="7">
        <f t="shared" ref="D68:D75" si="9">SUMIF($I$26:$I$27,"="&amp;A68,$J$26:$J$27)/10^3</f>
        <v>6817.6010561142193</v>
      </c>
    </row>
    <row r="69" spans="1:4" x14ac:dyDescent="0.2">
      <c r="A69" t="s">
        <v>9</v>
      </c>
      <c r="B69" s="3" t="s">
        <v>48</v>
      </c>
      <c r="C69">
        <v>2</v>
      </c>
      <c r="D69" s="7">
        <f t="shared" si="9"/>
        <v>6817.6010561142193</v>
      </c>
    </row>
    <row r="70" spans="1:4" x14ac:dyDescent="0.2">
      <c r="A70" t="s">
        <v>9</v>
      </c>
      <c r="B70" s="3" t="s">
        <v>48</v>
      </c>
      <c r="C70">
        <v>3</v>
      </c>
      <c r="D70" s="7">
        <f t="shared" si="9"/>
        <v>6817.6010561142193</v>
      </c>
    </row>
    <row r="71" spans="1:4" x14ac:dyDescent="0.2">
      <c r="A71" t="s">
        <v>9</v>
      </c>
      <c r="B71" s="3" t="s">
        <v>48</v>
      </c>
      <c r="C71">
        <v>4</v>
      </c>
      <c r="D71" s="7">
        <f t="shared" si="9"/>
        <v>6817.6010561142193</v>
      </c>
    </row>
    <row r="72" spans="1:4" x14ac:dyDescent="0.2">
      <c r="A72" t="s">
        <v>9</v>
      </c>
      <c r="B72" s="3" t="s">
        <v>48</v>
      </c>
      <c r="C72">
        <v>5</v>
      </c>
      <c r="D72" s="7">
        <f t="shared" si="9"/>
        <v>6817.6010561142193</v>
      </c>
    </row>
    <row r="73" spans="1:4" x14ac:dyDescent="0.2">
      <c r="A73" t="s">
        <v>9</v>
      </c>
      <c r="B73" s="3" t="s">
        <v>48</v>
      </c>
      <c r="C73">
        <v>6</v>
      </c>
      <c r="D73" s="7">
        <f t="shared" si="9"/>
        <v>6817.6010561142193</v>
      </c>
    </row>
    <row r="74" spans="1:4" x14ac:dyDescent="0.2">
      <c r="A74" t="s">
        <v>9</v>
      </c>
      <c r="B74" s="3" t="s">
        <v>48</v>
      </c>
      <c r="C74">
        <v>7</v>
      </c>
      <c r="D74" s="7">
        <f t="shared" si="9"/>
        <v>6817.6010561142193</v>
      </c>
    </row>
    <row r="75" spans="1:4" x14ac:dyDescent="0.2">
      <c r="A75" t="s">
        <v>9</v>
      </c>
      <c r="B75" s="3" t="s">
        <v>48</v>
      </c>
      <c r="C75">
        <v>8</v>
      </c>
      <c r="D75" s="7">
        <f t="shared" si="9"/>
        <v>6817.6010561142193</v>
      </c>
    </row>
    <row r="76" spans="1:4" x14ac:dyDescent="0.2">
      <c r="A76" t="s">
        <v>1</v>
      </c>
      <c r="B76" t="s">
        <v>47</v>
      </c>
      <c r="C76">
        <v>1</v>
      </c>
      <c r="D76" s="7">
        <f t="shared" ref="D76:D139" si="10">SUMIF($I$5:$I$20,"="&amp;A76,$J$5:$J$20)/10^3</f>
        <v>1802.0000000000002</v>
      </c>
    </row>
    <row r="77" spans="1:4" x14ac:dyDescent="0.2">
      <c r="A77" t="s">
        <v>1</v>
      </c>
      <c r="B77" t="s">
        <v>47</v>
      </c>
      <c r="C77">
        <v>2</v>
      </c>
      <c r="D77" s="7">
        <f t="shared" si="10"/>
        <v>1802.0000000000002</v>
      </c>
    </row>
    <row r="78" spans="1:4" x14ac:dyDescent="0.2">
      <c r="A78" t="s">
        <v>1</v>
      </c>
      <c r="B78" t="s">
        <v>47</v>
      </c>
      <c r="C78">
        <v>3</v>
      </c>
      <c r="D78" s="7">
        <f t="shared" si="10"/>
        <v>1802.0000000000002</v>
      </c>
    </row>
    <row r="79" spans="1:4" x14ac:dyDescent="0.2">
      <c r="A79" t="s">
        <v>1</v>
      </c>
      <c r="B79" t="s">
        <v>47</v>
      </c>
      <c r="C79">
        <v>4</v>
      </c>
      <c r="D79" s="7">
        <f t="shared" si="10"/>
        <v>1802.0000000000002</v>
      </c>
    </row>
    <row r="80" spans="1:4" x14ac:dyDescent="0.2">
      <c r="A80" t="s">
        <v>1</v>
      </c>
      <c r="B80" t="s">
        <v>47</v>
      </c>
      <c r="C80">
        <v>5</v>
      </c>
      <c r="D80" s="7">
        <f t="shared" si="10"/>
        <v>1802.0000000000002</v>
      </c>
    </row>
    <row r="81" spans="1:4" x14ac:dyDescent="0.2">
      <c r="A81" t="s">
        <v>1</v>
      </c>
      <c r="B81" t="s">
        <v>47</v>
      </c>
      <c r="C81">
        <v>6</v>
      </c>
      <c r="D81" s="7">
        <f t="shared" si="10"/>
        <v>1802.0000000000002</v>
      </c>
    </row>
    <row r="82" spans="1:4" x14ac:dyDescent="0.2">
      <c r="A82" t="s">
        <v>1</v>
      </c>
      <c r="B82" t="s">
        <v>47</v>
      </c>
      <c r="C82">
        <v>7</v>
      </c>
      <c r="D82" s="7">
        <f t="shared" si="10"/>
        <v>1802.0000000000002</v>
      </c>
    </row>
    <row r="83" spans="1:4" x14ac:dyDescent="0.2">
      <c r="A83" t="s">
        <v>1</v>
      </c>
      <c r="B83" t="s">
        <v>47</v>
      </c>
      <c r="C83">
        <v>8</v>
      </c>
      <c r="D83" s="7">
        <f t="shared" si="10"/>
        <v>1802.0000000000002</v>
      </c>
    </row>
    <row r="84" spans="1:4" x14ac:dyDescent="0.2">
      <c r="A84" t="s">
        <v>7</v>
      </c>
      <c r="B84" s="3" t="s">
        <v>47</v>
      </c>
      <c r="C84" s="3">
        <v>1</v>
      </c>
      <c r="D84" s="7">
        <f t="shared" si="10"/>
        <v>408.00000000000006</v>
      </c>
    </row>
    <row r="85" spans="1:4" x14ac:dyDescent="0.2">
      <c r="A85" t="s">
        <v>7</v>
      </c>
      <c r="B85" s="3" t="s">
        <v>47</v>
      </c>
      <c r="C85" s="3">
        <v>2</v>
      </c>
      <c r="D85" s="7">
        <f t="shared" si="10"/>
        <v>408.00000000000006</v>
      </c>
    </row>
    <row r="86" spans="1:4" x14ac:dyDescent="0.2">
      <c r="A86" t="s">
        <v>7</v>
      </c>
      <c r="B86" s="3" t="s">
        <v>47</v>
      </c>
      <c r="C86" s="3">
        <v>3</v>
      </c>
      <c r="D86" s="7">
        <f t="shared" si="10"/>
        <v>408.00000000000006</v>
      </c>
    </row>
    <row r="87" spans="1:4" x14ac:dyDescent="0.2">
      <c r="A87" t="s">
        <v>7</v>
      </c>
      <c r="B87" s="3" t="s">
        <v>47</v>
      </c>
      <c r="C87" s="3">
        <v>4</v>
      </c>
      <c r="D87" s="7">
        <f t="shared" si="10"/>
        <v>408.00000000000006</v>
      </c>
    </row>
    <row r="88" spans="1:4" x14ac:dyDescent="0.2">
      <c r="A88" t="s">
        <v>7</v>
      </c>
      <c r="B88" s="3" t="s">
        <v>47</v>
      </c>
      <c r="C88" s="3">
        <v>5</v>
      </c>
      <c r="D88" s="7">
        <f t="shared" si="10"/>
        <v>408.00000000000006</v>
      </c>
    </row>
    <row r="89" spans="1:4" x14ac:dyDescent="0.2">
      <c r="A89" t="s">
        <v>7</v>
      </c>
      <c r="B89" s="3" t="s">
        <v>47</v>
      </c>
      <c r="C89" s="3">
        <v>6</v>
      </c>
      <c r="D89" s="7">
        <f t="shared" si="10"/>
        <v>408.00000000000006</v>
      </c>
    </row>
    <row r="90" spans="1:4" x14ac:dyDescent="0.2">
      <c r="A90" t="s">
        <v>7</v>
      </c>
      <c r="B90" s="3" t="s">
        <v>47</v>
      </c>
      <c r="C90" s="3">
        <v>7</v>
      </c>
      <c r="D90" s="7">
        <f t="shared" si="10"/>
        <v>408.00000000000006</v>
      </c>
    </row>
    <row r="91" spans="1:4" x14ac:dyDescent="0.2">
      <c r="A91" t="s">
        <v>7</v>
      </c>
      <c r="B91" s="3" t="s">
        <v>47</v>
      </c>
      <c r="C91" s="3">
        <v>8</v>
      </c>
      <c r="D91" s="7">
        <f t="shared" si="10"/>
        <v>408.00000000000006</v>
      </c>
    </row>
    <row r="92" spans="1:4" x14ac:dyDescent="0.2">
      <c r="A92" t="s">
        <v>6</v>
      </c>
      <c r="B92" s="3" t="s">
        <v>47</v>
      </c>
      <c r="C92" s="3">
        <v>1</v>
      </c>
      <c r="D92" s="7">
        <f t="shared" si="10"/>
        <v>3821.6000000000004</v>
      </c>
    </row>
    <row r="93" spans="1:4" x14ac:dyDescent="0.2">
      <c r="A93" t="s">
        <v>6</v>
      </c>
      <c r="B93" s="3" t="s">
        <v>47</v>
      </c>
      <c r="C93" s="3">
        <v>2</v>
      </c>
      <c r="D93" s="7">
        <f t="shared" si="10"/>
        <v>3821.6000000000004</v>
      </c>
    </row>
    <row r="94" spans="1:4" x14ac:dyDescent="0.2">
      <c r="A94" t="s">
        <v>6</v>
      </c>
      <c r="B94" s="3" t="s">
        <v>47</v>
      </c>
      <c r="C94" s="3">
        <v>3</v>
      </c>
      <c r="D94" s="7">
        <f t="shared" si="10"/>
        <v>3821.6000000000004</v>
      </c>
    </row>
    <row r="95" spans="1:4" x14ac:dyDescent="0.2">
      <c r="A95" t="s">
        <v>6</v>
      </c>
      <c r="B95" s="3" t="s">
        <v>47</v>
      </c>
      <c r="C95" s="3">
        <v>4</v>
      </c>
      <c r="D95" s="7">
        <f t="shared" si="10"/>
        <v>3821.6000000000004</v>
      </c>
    </row>
    <row r="96" spans="1:4" x14ac:dyDescent="0.2">
      <c r="A96" t="s">
        <v>6</v>
      </c>
      <c r="B96" s="3" t="s">
        <v>47</v>
      </c>
      <c r="C96" s="3">
        <v>5</v>
      </c>
      <c r="D96" s="7">
        <f t="shared" si="10"/>
        <v>3821.6000000000004</v>
      </c>
    </row>
    <row r="97" spans="1:4" x14ac:dyDescent="0.2">
      <c r="A97" t="s">
        <v>6</v>
      </c>
      <c r="B97" s="3" t="s">
        <v>47</v>
      </c>
      <c r="C97" s="3">
        <v>6</v>
      </c>
      <c r="D97" s="7">
        <f t="shared" si="10"/>
        <v>3821.6000000000004</v>
      </c>
    </row>
    <row r="98" spans="1:4" x14ac:dyDescent="0.2">
      <c r="A98" t="s">
        <v>6</v>
      </c>
      <c r="B98" s="3" t="s">
        <v>47</v>
      </c>
      <c r="C98" s="3">
        <v>7</v>
      </c>
      <c r="D98" s="7">
        <f t="shared" si="10"/>
        <v>3821.6000000000004</v>
      </c>
    </row>
    <row r="99" spans="1:4" x14ac:dyDescent="0.2">
      <c r="A99" t="s">
        <v>6</v>
      </c>
      <c r="B99" s="3" t="s">
        <v>47</v>
      </c>
      <c r="C99" s="3">
        <v>8</v>
      </c>
      <c r="D99" s="7">
        <f t="shared" si="10"/>
        <v>3821.6000000000004</v>
      </c>
    </row>
    <row r="100" spans="1:4" x14ac:dyDescent="0.2">
      <c r="A100" t="s">
        <v>27</v>
      </c>
      <c r="B100" s="3" t="s">
        <v>47</v>
      </c>
      <c r="C100" s="3">
        <v>1</v>
      </c>
      <c r="D100" s="7">
        <f t="shared" si="10"/>
        <v>2763.52</v>
      </c>
    </row>
    <row r="101" spans="1:4" x14ac:dyDescent="0.2">
      <c r="A101" t="s">
        <v>27</v>
      </c>
      <c r="B101" s="3" t="s">
        <v>47</v>
      </c>
      <c r="C101" s="3">
        <v>2</v>
      </c>
      <c r="D101" s="7">
        <f t="shared" si="10"/>
        <v>2763.52</v>
      </c>
    </row>
    <row r="102" spans="1:4" x14ac:dyDescent="0.2">
      <c r="A102" t="s">
        <v>27</v>
      </c>
      <c r="B102" s="3" t="s">
        <v>47</v>
      </c>
      <c r="C102" s="3">
        <v>3</v>
      </c>
      <c r="D102" s="7">
        <f t="shared" si="10"/>
        <v>2763.52</v>
      </c>
    </row>
    <row r="103" spans="1:4" x14ac:dyDescent="0.2">
      <c r="A103" t="s">
        <v>27</v>
      </c>
      <c r="B103" s="3" t="s">
        <v>47</v>
      </c>
      <c r="C103" s="3">
        <v>4</v>
      </c>
      <c r="D103" s="7">
        <f t="shared" si="10"/>
        <v>2763.52</v>
      </c>
    </row>
    <row r="104" spans="1:4" x14ac:dyDescent="0.2">
      <c r="A104" t="s">
        <v>27</v>
      </c>
      <c r="B104" s="3" t="s">
        <v>47</v>
      </c>
      <c r="C104" s="3">
        <v>5</v>
      </c>
      <c r="D104" s="7">
        <f t="shared" si="10"/>
        <v>2763.52</v>
      </c>
    </row>
    <row r="105" spans="1:4" x14ac:dyDescent="0.2">
      <c r="A105" t="s">
        <v>27</v>
      </c>
      <c r="B105" s="3" t="s">
        <v>47</v>
      </c>
      <c r="C105" s="3">
        <v>6</v>
      </c>
      <c r="D105" s="7">
        <f t="shared" si="10"/>
        <v>2763.52</v>
      </c>
    </row>
    <row r="106" spans="1:4" x14ac:dyDescent="0.2">
      <c r="A106" t="s">
        <v>27</v>
      </c>
      <c r="B106" s="3" t="s">
        <v>47</v>
      </c>
      <c r="C106" s="3">
        <v>7</v>
      </c>
      <c r="D106" s="7">
        <f t="shared" si="10"/>
        <v>2763.52</v>
      </c>
    </row>
    <row r="107" spans="1:4" x14ac:dyDescent="0.2">
      <c r="A107" t="s">
        <v>27</v>
      </c>
      <c r="B107" s="3" t="s">
        <v>47</v>
      </c>
      <c r="C107" s="3">
        <v>8</v>
      </c>
      <c r="D107" s="7">
        <f t="shared" si="10"/>
        <v>2763.52</v>
      </c>
    </row>
    <row r="108" spans="1:4" x14ac:dyDescent="0.2">
      <c r="A108" t="s">
        <v>33</v>
      </c>
      <c r="B108" s="3" t="s">
        <v>47</v>
      </c>
      <c r="C108" s="3">
        <v>1</v>
      </c>
      <c r="D108" s="7">
        <f t="shared" si="10"/>
        <v>312.8</v>
      </c>
    </row>
    <row r="109" spans="1:4" x14ac:dyDescent="0.2">
      <c r="A109" t="s">
        <v>33</v>
      </c>
      <c r="B109" s="3" t="s">
        <v>47</v>
      </c>
      <c r="C109" s="3">
        <v>2</v>
      </c>
      <c r="D109" s="7">
        <f t="shared" si="10"/>
        <v>312.8</v>
      </c>
    </row>
    <row r="110" spans="1:4" x14ac:dyDescent="0.2">
      <c r="A110" t="s">
        <v>33</v>
      </c>
      <c r="B110" s="3" t="s">
        <v>47</v>
      </c>
      <c r="C110" s="3">
        <v>3</v>
      </c>
      <c r="D110" s="7">
        <f t="shared" si="10"/>
        <v>312.8</v>
      </c>
    </row>
    <row r="111" spans="1:4" x14ac:dyDescent="0.2">
      <c r="A111" t="s">
        <v>33</v>
      </c>
      <c r="B111" s="3" t="s">
        <v>47</v>
      </c>
      <c r="C111" s="3">
        <v>4</v>
      </c>
      <c r="D111" s="7">
        <f t="shared" si="10"/>
        <v>312.8</v>
      </c>
    </row>
    <row r="112" spans="1:4" x14ac:dyDescent="0.2">
      <c r="A112" t="s">
        <v>33</v>
      </c>
      <c r="B112" s="3" t="s">
        <v>47</v>
      </c>
      <c r="C112" s="3">
        <v>5</v>
      </c>
      <c r="D112" s="7">
        <f t="shared" si="10"/>
        <v>312.8</v>
      </c>
    </row>
    <row r="113" spans="1:4" x14ac:dyDescent="0.2">
      <c r="A113" t="s">
        <v>33</v>
      </c>
      <c r="B113" s="3" t="s">
        <v>47</v>
      </c>
      <c r="C113" s="3">
        <v>6</v>
      </c>
      <c r="D113" s="7">
        <f t="shared" si="10"/>
        <v>312.8</v>
      </c>
    </row>
    <row r="114" spans="1:4" x14ac:dyDescent="0.2">
      <c r="A114" t="s">
        <v>33</v>
      </c>
      <c r="B114" s="3" t="s">
        <v>47</v>
      </c>
      <c r="C114" s="3">
        <v>7</v>
      </c>
      <c r="D114" s="7">
        <f t="shared" si="10"/>
        <v>312.8</v>
      </c>
    </row>
    <row r="115" spans="1:4" x14ac:dyDescent="0.2">
      <c r="A115" t="s">
        <v>33</v>
      </c>
      <c r="B115" s="3" t="s">
        <v>47</v>
      </c>
      <c r="C115" s="3">
        <v>8</v>
      </c>
      <c r="D115" s="7">
        <f t="shared" si="10"/>
        <v>312.8</v>
      </c>
    </row>
    <row r="116" spans="1:4" x14ac:dyDescent="0.2">
      <c r="A116" t="s">
        <v>11</v>
      </c>
      <c r="B116" s="3" t="s">
        <v>47</v>
      </c>
      <c r="C116" s="3">
        <v>1</v>
      </c>
      <c r="D116" s="7">
        <f t="shared" si="10"/>
        <v>1428</v>
      </c>
    </row>
    <row r="117" spans="1:4" x14ac:dyDescent="0.2">
      <c r="A117" t="s">
        <v>11</v>
      </c>
      <c r="B117" s="3" t="s">
        <v>47</v>
      </c>
      <c r="C117" s="3">
        <v>2</v>
      </c>
      <c r="D117" s="7">
        <f t="shared" si="10"/>
        <v>1428</v>
      </c>
    </row>
    <row r="118" spans="1:4" x14ac:dyDescent="0.2">
      <c r="A118" t="s">
        <v>11</v>
      </c>
      <c r="B118" s="3" t="s">
        <v>47</v>
      </c>
      <c r="C118" s="3">
        <v>3</v>
      </c>
      <c r="D118" s="7">
        <f t="shared" si="10"/>
        <v>1428</v>
      </c>
    </row>
    <row r="119" spans="1:4" x14ac:dyDescent="0.2">
      <c r="A119" t="s">
        <v>11</v>
      </c>
      <c r="B119" s="3" t="s">
        <v>47</v>
      </c>
      <c r="C119" s="3">
        <v>4</v>
      </c>
      <c r="D119" s="7">
        <f t="shared" si="10"/>
        <v>1428</v>
      </c>
    </row>
    <row r="120" spans="1:4" x14ac:dyDescent="0.2">
      <c r="A120" t="s">
        <v>11</v>
      </c>
      <c r="B120" s="3" t="s">
        <v>47</v>
      </c>
      <c r="C120" s="3">
        <v>5</v>
      </c>
      <c r="D120" s="7">
        <f t="shared" si="10"/>
        <v>1428</v>
      </c>
    </row>
    <row r="121" spans="1:4" x14ac:dyDescent="0.2">
      <c r="A121" t="s">
        <v>11</v>
      </c>
      <c r="B121" s="3" t="s">
        <v>47</v>
      </c>
      <c r="C121" s="3">
        <v>6</v>
      </c>
      <c r="D121" s="7">
        <f t="shared" si="10"/>
        <v>1428</v>
      </c>
    </row>
    <row r="122" spans="1:4" x14ac:dyDescent="0.2">
      <c r="A122" t="s">
        <v>11</v>
      </c>
      <c r="B122" s="3" t="s">
        <v>47</v>
      </c>
      <c r="C122" s="3">
        <v>7</v>
      </c>
      <c r="D122" s="7">
        <f t="shared" si="10"/>
        <v>1428</v>
      </c>
    </row>
    <row r="123" spans="1:4" x14ac:dyDescent="0.2">
      <c r="A123" t="s">
        <v>11</v>
      </c>
      <c r="B123" s="3" t="s">
        <v>47</v>
      </c>
      <c r="C123" s="3">
        <v>8</v>
      </c>
      <c r="D123" s="7">
        <f t="shared" si="10"/>
        <v>1428</v>
      </c>
    </row>
    <row r="124" spans="1:4" x14ac:dyDescent="0.2">
      <c r="A124" t="s">
        <v>12</v>
      </c>
      <c r="B124" s="3" t="s">
        <v>47</v>
      </c>
      <c r="C124" s="3">
        <v>1</v>
      </c>
      <c r="D124" s="7">
        <f t="shared" si="10"/>
        <v>1043.1200000000001</v>
      </c>
    </row>
    <row r="125" spans="1:4" x14ac:dyDescent="0.2">
      <c r="A125" t="s">
        <v>12</v>
      </c>
      <c r="B125" s="3" t="s">
        <v>47</v>
      </c>
      <c r="C125" s="3">
        <v>2</v>
      </c>
      <c r="D125" s="7">
        <f t="shared" si="10"/>
        <v>1043.1200000000001</v>
      </c>
    </row>
    <row r="126" spans="1:4" x14ac:dyDescent="0.2">
      <c r="A126" t="s">
        <v>12</v>
      </c>
      <c r="B126" s="3" t="s">
        <v>47</v>
      </c>
      <c r="C126" s="3">
        <v>3</v>
      </c>
      <c r="D126" s="7">
        <f t="shared" si="10"/>
        <v>1043.1200000000001</v>
      </c>
    </row>
    <row r="127" spans="1:4" x14ac:dyDescent="0.2">
      <c r="A127" t="s">
        <v>12</v>
      </c>
      <c r="B127" s="3" t="s">
        <v>47</v>
      </c>
      <c r="C127" s="3">
        <v>4</v>
      </c>
      <c r="D127" s="7">
        <f t="shared" si="10"/>
        <v>1043.1200000000001</v>
      </c>
    </row>
    <row r="128" spans="1:4" x14ac:dyDescent="0.2">
      <c r="A128" t="s">
        <v>12</v>
      </c>
      <c r="B128" s="3" t="s">
        <v>47</v>
      </c>
      <c r="C128" s="3">
        <v>5</v>
      </c>
      <c r="D128" s="7">
        <f t="shared" si="10"/>
        <v>1043.1200000000001</v>
      </c>
    </row>
    <row r="129" spans="1:4" x14ac:dyDescent="0.2">
      <c r="A129" t="s">
        <v>12</v>
      </c>
      <c r="B129" s="3" t="s">
        <v>47</v>
      </c>
      <c r="C129" s="3">
        <v>6</v>
      </c>
      <c r="D129" s="7">
        <f t="shared" si="10"/>
        <v>1043.1200000000001</v>
      </c>
    </row>
    <row r="130" spans="1:4" x14ac:dyDescent="0.2">
      <c r="A130" t="s">
        <v>12</v>
      </c>
      <c r="B130" s="3" t="s">
        <v>47</v>
      </c>
      <c r="C130" s="3">
        <v>7</v>
      </c>
      <c r="D130" s="7">
        <f t="shared" si="10"/>
        <v>1043.1200000000001</v>
      </c>
    </row>
    <row r="131" spans="1:4" x14ac:dyDescent="0.2">
      <c r="A131" t="s">
        <v>12</v>
      </c>
      <c r="B131" s="3" t="s">
        <v>47</v>
      </c>
      <c r="C131" s="3">
        <v>8</v>
      </c>
      <c r="D131" s="7">
        <f t="shared" si="10"/>
        <v>1043.1200000000001</v>
      </c>
    </row>
    <row r="132" spans="1:4" x14ac:dyDescent="0.2">
      <c r="A132" t="s">
        <v>13</v>
      </c>
      <c r="B132" s="3" t="s">
        <v>47</v>
      </c>
      <c r="C132" s="3">
        <v>1</v>
      </c>
      <c r="D132" s="7">
        <f t="shared" si="10"/>
        <v>918.00000000000011</v>
      </c>
    </row>
    <row r="133" spans="1:4" x14ac:dyDescent="0.2">
      <c r="A133" t="s">
        <v>13</v>
      </c>
      <c r="B133" s="3" t="s">
        <v>47</v>
      </c>
      <c r="C133" s="3">
        <v>2</v>
      </c>
      <c r="D133" s="7">
        <f t="shared" si="10"/>
        <v>918.00000000000011</v>
      </c>
    </row>
    <row r="134" spans="1:4" x14ac:dyDescent="0.2">
      <c r="A134" t="s">
        <v>13</v>
      </c>
      <c r="B134" s="3" t="s">
        <v>47</v>
      </c>
      <c r="C134" s="3">
        <v>3</v>
      </c>
      <c r="D134" s="7">
        <f t="shared" si="10"/>
        <v>918.00000000000011</v>
      </c>
    </row>
    <row r="135" spans="1:4" x14ac:dyDescent="0.2">
      <c r="A135" t="s">
        <v>13</v>
      </c>
      <c r="B135" s="3" t="s">
        <v>47</v>
      </c>
      <c r="C135" s="3">
        <v>4</v>
      </c>
      <c r="D135" s="7">
        <f t="shared" si="10"/>
        <v>918.00000000000011</v>
      </c>
    </row>
    <row r="136" spans="1:4" x14ac:dyDescent="0.2">
      <c r="A136" t="s">
        <v>13</v>
      </c>
      <c r="B136" s="3" t="s">
        <v>47</v>
      </c>
      <c r="C136" s="3">
        <v>5</v>
      </c>
      <c r="D136" s="7">
        <f t="shared" si="10"/>
        <v>918.00000000000011</v>
      </c>
    </row>
    <row r="137" spans="1:4" x14ac:dyDescent="0.2">
      <c r="A137" t="s">
        <v>13</v>
      </c>
      <c r="B137" s="3" t="s">
        <v>47</v>
      </c>
      <c r="C137" s="3">
        <v>6</v>
      </c>
      <c r="D137" s="7">
        <f t="shared" si="10"/>
        <v>918.00000000000011</v>
      </c>
    </row>
    <row r="138" spans="1:4" x14ac:dyDescent="0.2">
      <c r="A138" t="s">
        <v>13</v>
      </c>
      <c r="B138" s="3" t="s">
        <v>47</v>
      </c>
      <c r="C138" s="3">
        <v>7</v>
      </c>
      <c r="D138" s="7">
        <f t="shared" si="10"/>
        <v>918.00000000000011</v>
      </c>
    </row>
    <row r="139" spans="1:4" x14ac:dyDescent="0.2">
      <c r="A139" t="s">
        <v>13</v>
      </c>
      <c r="B139" s="3" t="s">
        <v>47</v>
      </c>
      <c r="C139" s="3">
        <v>8</v>
      </c>
      <c r="D139" s="7">
        <f t="shared" si="10"/>
        <v>918.00000000000011</v>
      </c>
    </row>
    <row r="140" spans="1:4" x14ac:dyDescent="0.2">
      <c r="A140" t="s">
        <v>3</v>
      </c>
      <c r="B140" s="3" t="s">
        <v>107</v>
      </c>
      <c r="C140" s="3">
        <v>1</v>
      </c>
      <c r="D140" s="7">
        <f>55*10^9*$P$6/1000/8760</f>
        <v>4269.4063926940644</v>
      </c>
    </row>
    <row r="141" spans="1:4" x14ac:dyDescent="0.2">
      <c r="A141" t="s">
        <v>3</v>
      </c>
      <c r="B141" s="3" t="s">
        <v>107</v>
      </c>
      <c r="C141" s="3">
        <v>2</v>
      </c>
      <c r="D141" s="7">
        <f t="shared" ref="D141:D147" si="11">55*10^9*$P$6/1000/8760</f>
        <v>4269.4063926940644</v>
      </c>
    </row>
    <row r="142" spans="1:4" x14ac:dyDescent="0.2">
      <c r="A142" t="s">
        <v>3</v>
      </c>
      <c r="B142" s="3" t="s">
        <v>107</v>
      </c>
      <c r="C142" s="3">
        <v>3</v>
      </c>
      <c r="D142" s="7">
        <f t="shared" si="11"/>
        <v>4269.4063926940644</v>
      </c>
    </row>
    <row r="143" spans="1:4" x14ac:dyDescent="0.2">
      <c r="A143" t="s">
        <v>3</v>
      </c>
      <c r="B143" s="3" t="s">
        <v>107</v>
      </c>
      <c r="C143" s="3">
        <v>4</v>
      </c>
      <c r="D143" s="7">
        <f t="shared" si="11"/>
        <v>4269.4063926940644</v>
      </c>
    </row>
    <row r="144" spans="1:4" x14ac:dyDescent="0.2">
      <c r="A144" t="s">
        <v>3</v>
      </c>
      <c r="B144" s="3" t="s">
        <v>107</v>
      </c>
      <c r="C144" s="3">
        <v>5</v>
      </c>
      <c r="D144" s="7">
        <f t="shared" si="11"/>
        <v>4269.4063926940644</v>
      </c>
    </row>
    <row r="145" spans="1:4" x14ac:dyDescent="0.2">
      <c r="A145" t="s">
        <v>3</v>
      </c>
      <c r="B145" s="3" t="s">
        <v>107</v>
      </c>
      <c r="C145" s="3">
        <v>6</v>
      </c>
      <c r="D145" s="7">
        <f t="shared" si="11"/>
        <v>4269.4063926940644</v>
      </c>
    </row>
    <row r="146" spans="1:4" x14ac:dyDescent="0.2">
      <c r="A146" t="s">
        <v>3</v>
      </c>
      <c r="B146" s="3" t="s">
        <v>107</v>
      </c>
      <c r="C146" s="3">
        <v>7</v>
      </c>
      <c r="D146" s="7">
        <f t="shared" si="11"/>
        <v>4269.4063926940644</v>
      </c>
    </row>
    <row r="147" spans="1:4" x14ac:dyDescent="0.2">
      <c r="A147" t="s">
        <v>3</v>
      </c>
      <c r="B147" s="3" t="s">
        <v>107</v>
      </c>
      <c r="C147" s="3">
        <v>8</v>
      </c>
      <c r="D147" s="7">
        <f t="shared" si="11"/>
        <v>4269.4063926940644</v>
      </c>
    </row>
    <row r="148" spans="1:4" x14ac:dyDescent="0.2">
      <c r="A148" t="s">
        <v>33</v>
      </c>
      <c r="B148" s="3" t="s">
        <v>107</v>
      </c>
      <c r="C148" s="3">
        <v>1</v>
      </c>
      <c r="D148" s="7">
        <f>10.4185087719298*10^9*$P$6/1000/8760</f>
        <v>808.74269005847771</v>
      </c>
    </row>
    <row r="149" spans="1:4" x14ac:dyDescent="0.2">
      <c r="A149" t="s">
        <v>33</v>
      </c>
      <c r="B149" s="3" t="s">
        <v>107</v>
      </c>
      <c r="C149" s="3">
        <v>2</v>
      </c>
      <c r="D149" s="7">
        <f t="shared" ref="D149:D155" si="12">10.4185087719298*10^9*$P$6/1000/8760</f>
        <v>808.74269005847771</v>
      </c>
    </row>
    <row r="150" spans="1:4" x14ac:dyDescent="0.2">
      <c r="A150" t="s">
        <v>33</v>
      </c>
      <c r="B150" s="3" t="s">
        <v>107</v>
      </c>
      <c r="C150" s="3">
        <v>3</v>
      </c>
      <c r="D150" s="7">
        <f t="shared" si="12"/>
        <v>808.74269005847771</v>
      </c>
    </row>
    <row r="151" spans="1:4" x14ac:dyDescent="0.2">
      <c r="A151" t="s">
        <v>33</v>
      </c>
      <c r="B151" s="3" t="s">
        <v>107</v>
      </c>
      <c r="C151" s="3">
        <v>4</v>
      </c>
      <c r="D151" s="7">
        <f t="shared" si="12"/>
        <v>808.74269005847771</v>
      </c>
    </row>
    <row r="152" spans="1:4" x14ac:dyDescent="0.2">
      <c r="A152" t="s">
        <v>33</v>
      </c>
      <c r="B152" s="3" t="s">
        <v>107</v>
      </c>
      <c r="C152" s="3">
        <v>5</v>
      </c>
      <c r="D152" s="7">
        <f t="shared" si="12"/>
        <v>808.74269005847771</v>
      </c>
    </row>
    <row r="153" spans="1:4" x14ac:dyDescent="0.2">
      <c r="A153" t="s">
        <v>33</v>
      </c>
      <c r="B153" s="3" t="s">
        <v>107</v>
      </c>
      <c r="C153" s="3">
        <v>6</v>
      </c>
      <c r="D153" s="7">
        <f t="shared" si="12"/>
        <v>808.74269005847771</v>
      </c>
    </row>
    <row r="154" spans="1:4" x14ac:dyDescent="0.2">
      <c r="A154" t="s">
        <v>33</v>
      </c>
      <c r="B154" s="3" t="s">
        <v>107</v>
      </c>
      <c r="C154" s="3">
        <v>7</v>
      </c>
      <c r="D154" s="7">
        <f t="shared" si="12"/>
        <v>808.74269005847771</v>
      </c>
    </row>
    <row r="155" spans="1:4" x14ac:dyDescent="0.2">
      <c r="A155" t="s">
        <v>33</v>
      </c>
      <c r="B155" s="3" t="s">
        <v>107</v>
      </c>
      <c r="C155" s="3">
        <v>8</v>
      </c>
      <c r="D155" s="7">
        <f t="shared" si="12"/>
        <v>808.74269005847771</v>
      </c>
    </row>
    <row r="156" spans="1:4" x14ac:dyDescent="0.2">
      <c r="A156" t="s">
        <v>8</v>
      </c>
      <c r="B156" s="3" t="s">
        <v>107</v>
      </c>
      <c r="C156" s="3">
        <v>1</v>
      </c>
      <c r="D156" s="7">
        <f>20.933*10^9*$P$6/1000/8760</f>
        <v>1624.936073059361</v>
      </c>
    </row>
    <row r="157" spans="1:4" x14ac:dyDescent="0.2">
      <c r="A157" t="s">
        <v>8</v>
      </c>
      <c r="B157" s="3" t="s">
        <v>107</v>
      </c>
      <c r="C157" s="3">
        <v>2</v>
      </c>
      <c r="D157" s="7">
        <f t="shared" ref="D157:D163" si="13">20.933*10^9*$P$6/1000/8760</f>
        <v>1624.936073059361</v>
      </c>
    </row>
    <row r="158" spans="1:4" x14ac:dyDescent="0.2">
      <c r="A158" t="s">
        <v>8</v>
      </c>
      <c r="B158" s="3" t="s">
        <v>107</v>
      </c>
      <c r="C158" s="3">
        <v>3</v>
      </c>
      <c r="D158" s="7">
        <f t="shared" si="13"/>
        <v>1624.936073059361</v>
      </c>
    </row>
    <row r="159" spans="1:4" x14ac:dyDescent="0.2">
      <c r="A159" t="s">
        <v>8</v>
      </c>
      <c r="B159" s="3" t="s">
        <v>107</v>
      </c>
      <c r="C159" s="3">
        <v>4</v>
      </c>
      <c r="D159" s="7">
        <f t="shared" si="13"/>
        <v>1624.936073059361</v>
      </c>
    </row>
    <row r="160" spans="1:4" x14ac:dyDescent="0.2">
      <c r="A160" t="s">
        <v>8</v>
      </c>
      <c r="B160" s="3" t="s">
        <v>107</v>
      </c>
      <c r="C160" s="3">
        <v>5</v>
      </c>
      <c r="D160" s="7">
        <f t="shared" si="13"/>
        <v>1624.936073059361</v>
      </c>
    </row>
    <row r="161" spans="1:4" x14ac:dyDescent="0.2">
      <c r="A161" t="s">
        <v>8</v>
      </c>
      <c r="B161" s="3" t="s">
        <v>107</v>
      </c>
      <c r="C161" s="3">
        <v>6</v>
      </c>
      <c r="D161" s="7">
        <f t="shared" si="13"/>
        <v>1624.936073059361</v>
      </c>
    </row>
    <row r="162" spans="1:4" x14ac:dyDescent="0.2">
      <c r="A162" t="s">
        <v>8</v>
      </c>
      <c r="B162" s="3" t="s">
        <v>107</v>
      </c>
      <c r="C162" s="3">
        <v>7</v>
      </c>
      <c r="D162" s="7">
        <f t="shared" si="13"/>
        <v>1624.936073059361</v>
      </c>
    </row>
    <row r="163" spans="1:4" x14ac:dyDescent="0.2">
      <c r="A163" t="s">
        <v>8</v>
      </c>
      <c r="B163" s="3" t="s">
        <v>107</v>
      </c>
      <c r="C163" s="3">
        <v>8</v>
      </c>
      <c r="D163" s="7">
        <f t="shared" si="13"/>
        <v>1624.936073059361</v>
      </c>
    </row>
    <row r="164" spans="1:4" x14ac:dyDescent="0.2">
      <c r="A164" t="s">
        <v>12</v>
      </c>
      <c r="B164" s="3" t="s">
        <v>107</v>
      </c>
      <c r="C164" s="3">
        <v>1</v>
      </c>
      <c r="D164" s="7">
        <f>(4.729+38.443)*10^9*$P$6/1000/8760</f>
        <v>3351.2511415525119</v>
      </c>
    </row>
    <row r="165" spans="1:4" x14ac:dyDescent="0.2">
      <c r="A165" t="s">
        <v>12</v>
      </c>
      <c r="B165" s="3" t="s">
        <v>107</v>
      </c>
      <c r="C165" s="3">
        <v>2</v>
      </c>
      <c r="D165" s="7">
        <f t="shared" ref="D165:D171" si="14">(4.729+38.443)*10^9*$P$6/1000/8760</f>
        <v>3351.2511415525119</v>
      </c>
    </row>
    <row r="166" spans="1:4" x14ac:dyDescent="0.2">
      <c r="A166" t="s">
        <v>12</v>
      </c>
      <c r="B166" s="3" t="s">
        <v>107</v>
      </c>
      <c r="C166" s="3">
        <v>3</v>
      </c>
      <c r="D166" s="7">
        <f t="shared" si="14"/>
        <v>3351.2511415525119</v>
      </c>
    </row>
    <row r="167" spans="1:4" x14ac:dyDescent="0.2">
      <c r="A167" t="s">
        <v>12</v>
      </c>
      <c r="B167" s="3" t="s">
        <v>107</v>
      </c>
      <c r="C167" s="3">
        <v>4</v>
      </c>
      <c r="D167" s="7">
        <f t="shared" si="14"/>
        <v>3351.2511415525119</v>
      </c>
    </row>
    <row r="168" spans="1:4" x14ac:dyDescent="0.2">
      <c r="A168" t="s">
        <v>12</v>
      </c>
      <c r="B168" s="3" t="s">
        <v>107</v>
      </c>
      <c r="C168" s="3">
        <v>5</v>
      </c>
      <c r="D168" s="7">
        <f t="shared" si="14"/>
        <v>3351.2511415525119</v>
      </c>
    </row>
    <row r="169" spans="1:4" x14ac:dyDescent="0.2">
      <c r="A169" t="s">
        <v>12</v>
      </c>
      <c r="B169" s="3" t="s">
        <v>107</v>
      </c>
      <c r="C169" s="3">
        <v>6</v>
      </c>
      <c r="D169" s="7">
        <f t="shared" si="14"/>
        <v>3351.2511415525119</v>
      </c>
    </row>
    <row r="170" spans="1:4" x14ac:dyDescent="0.2">
      <c r="A170" t="s">
        <v>12</v>
      </c>
      <c r="B170" s="3" t="s">
        <v>107</v>
      </c>
      <c r="C170" s="3">
        <v>7</v>
      </c>
      <c r="D170" s="7">
        <f t="shared" si="14"/>
        <v>3351.2511415525119</v>
      </c>
    </row>
    <row r="171" spans="1:4" x14ac:dyDescent="0.2">
      <c r="A171" t="s">
        <v>12</v>
      </c>
      <c r="B171" s="3" t="s">
        <v>107</v>
      </c>
      <c r="C171" s="3">
        <v>8</v>
      </c>
      <c r="D171" s="7">
        <f t="shared" si="14"/>
        <v>3351.2511415525119</v>
      </c>
    </row>
    <row r="172" spans="1:4" x14ac:dyDescent="0.2">
      <c r="A172" t="s">
        <v>14</v>
      </c>
      <c r="B172" s="3" t="s">
        <v>107</v>
      </c>
      <c r="C172" s="3">
        <v>1</v>
      </c>
      <c r="D172" s="7">
        <f>33.251*10^9*$P$6/1000/8760</f>
        <v>2581.1278538812785</v>
      </c>
    </row>
    <row r="173" spans="1:4" x14ac:dyDescent="0.2">
      <c r="A173" t="s">
        <v>14</v>
      </c>
      <c r="B173" s="3" t="s">
        <v>107</v>
      </c>
      <c r="C173" s="3">
        <v>2</v>
      </c>
      <c r="D173" s="7">
        <f t="shared" ref="D173:D178" si="15">33.251*10^9*$P$6/1000/8760</f>
        <v>2581.1278538812785</v>
      </c>
    </row>
    <row r="174" spans="1:4" x14ac:dyDescent="0.2">
      <c r="A174" t="s">
        <v>14</v>
      </c>
      <c r="B174" s="3" t="s">
        <v>107</v>
      </c>
      <c r="C174" s="3">
        <v>3</v>
      </c>
      <c r="D174" s="7">
        <f t="shared" si="15"/>
        <v>2581.1278538812785</v>
      </c>
    </row>
    <row r="175" spans="1:4" x14ac:dyDescent="0.2">
      <c r="A175" t="s">
        <v>14</v>
      </c>
      <c r="B175" s="3" t="s">
        <v>107</v>
      </c>
      <c r="C175" s="3">
        <v>4</v>
      </c>
      <c r="D175" s="7">
        <f t="shared" si="15"/>
        <v>2581.1278538812785</v>
      </c>
    </row>
    <row r="176" spans="1:4" x14ac:dyDescent="0.2">
      <c r="A176" t="s">
        <v>14</v>
      </c>
      <c r="B176" s="3" t="s">
        <v>107</v>
      </c>
      <c r="C176" s="3">
        <v>5</v>
      </c>
      <c r="D176" s="7">
        <f t="shared" si="15"/>
        <v>2581.1278538812785</v>
      </c>
    </row>
    <row r="177" spans="1:4" x14ac:dyDescent="0.2">
      <c r="A177" t="s">
        <v>14</v>
      </c>
      <c r="B177" s="3" t="s">
        <v>107</v>
      </c>
      <c r="C177" s="3">
        <v>6</v>
      </c>
      <c r="D177" s="7">
        <f t="shared" si="15"/>
        <v>2581.1278538812785</v>
      </c>
    </row>
    <row r="178" spans="1:4" x14ac:dyDescent="0.2">
      <c r="A178" t="s">
        <v>14</v>
      </c>
      <c r="B178" s="3" t="s">
        <v>107</v>
      </c>
      <c r="C178" s="3">
        <v>7</v>
      </c>
      <c r="D178" s="7">
        <f t="shared" si="15"/>
        <v>2581.1278538812785</v>
      </c>
    </row>
    <row r="179" spans="1:4" x14ac:dyDescent="0.2">
      <c r="A179" t="s">
        <v>14</v>
      </c>
      <c r="B179" s="3" t="s">
        <v>107</v>
      </c>
      <c r="C179" s="3">
        <v>8</v>
      </c>
      <c r="D179" s="7">
        <f>79.786*10^9*$P$6/1000/8760</f>
        <v>6193.4337899543389</v>
      </c>
    </row>
    <row r="180" spans="1:4" x14ac:dyDescent="0.2">
      <c r="A180" t="s">
        <v>15</v>
      </c>
      <c r="B180" s="3" t="s">
        <v>107</v>
      </c>
      <c r="C180" s="3">
        <v>1</v>
      </c>
      <c r="D180" s="7">
        <f>33.251*10^9*$P$6/1000/8760</f>
        <v>2581.1278538812785</v>
      </c>
    </row>
    <row r="181" spans="1:4" x14ac:dyDescent="0.2">
      <c r="A181" t="s">
        <v>15</v>
      </c>
      <c r="B181" s="3" t="s">
        <v>107</v>
      </c>
      <c r="C181" s="3">
        <v>2</v>
      </c>
      <c r="D181" s="7">
        <f t="shared" ref="D181:D187" si="16">33.251*10^9*$P$6/1000/8760</f>
        <v>2581.1278538812785</v>
      </c>
    </row>
    <row r="182" spans="1:4" x14ac:dyDescent="0.2">
      <c r="A182" t="s">
        <v>15</v>
      </c>
      <c r="B182" s="3" t="s">
        <v>107</v>
      </c>
      <c r="C182" s="3">
        <v>3</v>
      </c>
      <c r="D182" s="7">
        <f t="shared" si="16"/>
        <v>2581.1278538812785</v>
      </c>
    </row>
    <row r="183" spans="1:4" x14ac:dyDescent="0.2">
      <c r="A183" t="s">
        <v>15</v>
      </c>
      <c r="B183" s="3" t="s">
        <v>107</v>
      </c>
      <c r="C183" s="3">
        <v>4</v>
      </c>
      <c r="D183" s="7">
        <f t="shared" si="16"/>
        <v>2581.1278538812785</v>
      </c>
    </row>
    <row r="184" spans="1:4" x14ac:dyDescent="0.2">
      <c r="A184" t="s">
        <v>15</v>
      </c>
      <c r="B184" s="3" t="s">
        <v>107</v>
      </c>
      <c r="C184" s="3">
        <v>5</v>
      </c>
      <c r="D184" s="7">
        <f t="shared" si="16"/>
        <v>2581.1278538812785</v>
      </c>
    </row>
    <row r="185" spans="1:4" x14ac:dyDescent="0.2">
      <c r="A185" t="s">
        <v>15</v>
      </c>
      <c r="B185" s="3" t="s">
        <v>107</v>
      </c>
      <c r="C185" s="3">
        <v>6</v>
      </c>
      <c r="D185" s="7">
        <f t="shared" si="16"/>
        <v>2581.1278538812785</v>
      </c>
    </row>
    <row r="186" spans="1:4" x14ac:dyDescent="0.2">
      <c r="A186" t="s">
        <v>15</v>
      </c>
      <c r="B186" s="3" t="s">
        <v>107</v>
      </c>
      <c r="C186" s="3">
        <v>7</v>
      </c>
      <c r="D186" s="7">
        <f t="shared" si="16"/>
        <v>2581.1278538812785</v>
      </c>
    </row>
    <row r="187" spans="1:4" x14ac:dyDescent="0.2">
      <c r="A187" t="s">
        <v>15</v>
      </c>
      <c r="B187" s="3" t="s">
        <v>107</v>
      </c>
      <c r="C187" s="3">
        <v>8</v>
      </c>
      <c r="D187" s="7">
        <f t="shared" si="16"/>
        <v>2581.1278538812785</v>
      </c>
    </row>
    <row r="188" spans="1:4" x14ac:dyDescent="0.2">
      <c r="A188" t="s">
        <v>2</v>
      </c>
      <c r="B188" s="3" t="s">
        <v>107</v>
      </c>
      <c r="C188" s="3">
        <v>1</v>
      </c>
      <c r="D188" s="7">
        <f>3.383*10^9*$P$6/1000/8760</f>
        <v>262.60730593607303</v>
      </c>
    </row>
    <row r="189" spans="1:4" x14ac:dyDescent="0.2">
      <c r="A189" t="s">
        <v>2</v>
      </c>
      <c r="B189" s="3" t="s">
        <v>107</v>
      </c>
      <c r="C189" s="3">
        <v>2</v>
      </c>
      <c r="D189" s="7">
        <f t="shared" ref="D189:D194" si="17">3.383*10^9*$P$6/1000/8760</f>
        <v>262.60730593607303</v>
      </c>
    </row>
    <row r="190" spans="1:4" x14ac:dyDescent="0.2">
      <c r="A190" t="s">
        <v>2</v>
      </c>
      <c r="B190" s="3" t="s">
        <v>107</v>
      </c>
      <c r="C190" s="3">
        <v>3</v>
      </c>
      <c r="D190" s="7">
        <f t="shared" si="17"/>
        <v>262.60730593607303</v>
      </c>
    </row>
    <row r="191" spans="1:4" x14ac:dyDescent="0.2">
      <c r="A191" t="s">
        <v>2</v>
      </c>
      <c r="B191" s="3" t="s">
        <v>107</v>
      </c>
      <c r="C191" s="3">
        <v>4</v>
      </c>
      <c r="D191" s="7">
        <f t="shared" si="17"/>
        <v>262.60730593607303</v>
      </c>
    </row>
    <row r="192" spans="1:4" x14ac:dyDescent="0.2">
      <c r="A192" t="s">
        <v>2</v>
      </c>
      <c r="B192" s="3" t="s">
        <v>107</v>
      </c>
      <c r="C192" s="3">
        <v>5</v>
      </c>
      <c r="D192" s="7">
        <f t="shared" si="17"/>
        <v>262.60730593607303</v>
      </c>
    </row>
    <row r="193" spans="1:4" x14ac:dyDescent="0.2">
      <c r="A193" t="s">
        <v>2</v>
      </c>
      <c r="B193" s="3" t="s">
        <v>107</v>
      </c>
      <c r="C193" s="3">
        <v>6</v>
      </c>
      <c r="D193" s="7">
        <f t="shared" si="17"/>
        <v>262.60730593607303</v>
      </c>
    </row>
    <row r="194" spans="1:4" x14ac:dyDescent="0.2">
      <c r="A194" t="s">
        <v>2</v>
      </c>
      <c r="B194" s="3" t="s">
        <v>107</v>
      </c>
      <c r="C194" s="3">
        <v>7</v>
      </c>
      <c r="D194" s="7">
        <f t="shared" si="17"/>
        <v>262.60730593607303</v>
      </c>
    </row>
    <row r="195" spans="1:4" x14ac:dyDescent="0.2">
      <c r="A195" t="s">
        <v>2</v>
      </c>
      <c r="B195" s="3" t="s">
        <v>107</v>
      </c>
      <c r="C195" s="3">
        <v>8</v>
      </c>
      <c r="D195" s="7">
        <f>3.383*10^9*$P$6/1000/8760</f>
        <v>262.60730593607303</v>
      </c>
    </row>
    <row r="196" spans="1:4" x14ac:dyDescent="0.2">
      <c r="A196" t="s">
        <v>3</v>
      </c>
      <c r="B196" s="3" t="s">
        <v>47</v>
      </c>
      <c r="C196" s="3">
        <v>1</v>
      </c>
      <c r="D196" s="7">
        <f t="shared" ref="D196:D235" si="18">SUMIF($I$5:$I$20,"="&amp;A196,$J$5:$J$20)/10^3</f>
        <v>2791.7260273972606</v>
      </c>
    </row>
    <row r="197" spans="1:4" x14ac:dyDescent="0.2">
      <c r="A197" t="s">
        <v>3</v>
      </c>
      <c r="B197" s="3" t="s">
        <v>47</v>
      </c>
      <c r="C197" s="3">
        <v>2</v>
      </c>
      <c r="D197" s="7">
        <f t="shared" si="18"/>
        <v>2791.7260273972606</v>
      </c>
    </row>
    <row r="198" spans="1:4" x14ac:dyDescent="0.2">
      <c r="A198" t="s">
        <v>3</v>
      </c>
      <c r="B198" s="3" t="s">
        <v>47</v>
      </c>
      <c r="C198" s="3">
        <v>3</v>
      </c>
      <c r="D198" s="7">
        <f t="shared" si="18"/>
        <v>2791.7260273972606</v>
      </c>
    </row>
    <row r="199" spans="1:4" x14ac:dyDescent="0.2">
      <c r="A199" t="s">
        <v>3</v>
      </c>
      <c r="B199" s="3" t="s">
        <v>47</v>
      </c>
      <c r="C199" s="3">
        <v>4</v>
      </c>
      <c r="D199" s="7">
        <f t="shared" si="18"/>
        <v>2791.7260273972606</v>
      </c>
    </row>
    <row r="200" spans="1:4" x14ac:dyDescent="0.2">
      <c r="A200" t="s">
        <v>3</v>
      </c>
      <c r="B200" s="3" t="s">
        <v>47</v>
      </c>
      <c r="C200" s="3">
        <v>5</v>
      </c>
      <c r="D200" s="7">
        <f t="shared" si="18"/>
        <v>2791.7260273972606</v>
      </c>
    </row>
    <row r="201" spans="1:4" x14ac:dyDescent="0.2">
      <c r="A201" t="s">
        <v>3</v>
      </c>
      <c r="B201" s="3" t="s">
        <v>47</v>
      </c>
      <c r="C201" s="3">
        <v>6</v>
      </c>
      <c r="D201" s="7">
        <f t="shared" si="18"/>
        <v>2791.7260273972606</v>
      </c>
    </row>
    <row r="202" spans="1:4" x14ac:dyDescent="0.2">
      <c r="A202" t="s">
        <v>3</v>
      </c>
      <c r="B202" s="3" t="s">
        <v>47</v>
      </c>
      <c r="C202" s="3">
        <v>7</v>
      </c>
      <c r="D202" s="7">
        <f t="shared" si="18"/>
        <v>2791.7260273972606</v>
      </c>
    </row>
    <row r="203" spans="1:4" x14ac:dyDescent="0.2">
      <c r="A203" t="s">
        <v>3</v>
      </c>
      <c r="B203" s="3" t="s">
        <v>47</v>
      </c>
      <c r="C203" s="3">
        <v>8</v>
      </c>
      <c r="D203" s="7">
        <f t="shared" si="18"/>
        <v>2791.7260273972606</v>
      </c>
    </row>
    <row r="204" spans="1:4" x14ac:dyDescent="0.2">
      <c r="A204" t="s">
        <v>30</v>
      </c>
      <c r="B204" s="3" t="s">
        <v>47</v>
      </c>
      <c r="C204" s="3">
        <v>1</v>
      </c>
      <c r="D204" s="7">
        <f t="shared" si="18"/>
        <v>504.5662100456621</v>
      </c>
    </row>
    <row r="205" spans="1:4" x14ac:dyDescent="0.2">
      <c r="A205" t="s">
        <v>30</v>
      </c>
      <c r="B205" s="3" t="s">
        <v>47</v>
      </c>
      <c r="C205" s="3">
        <v>2</v>
      </c>
      <c r="D205" s="7">
        <f t="shared" si="18"/>
        <v>504.5662100456621</v>
      </c>
    </row>
    <row r="206" spans="1:4" x14ac:dyDescent="0.2">
      <c r="A206" t="s">
        <v>30</v>
      </c>
      <c r="B206" s="3" t="s">
        <v>47</v>
      </c>
      <c r="C206" s="3">
        <v>3</v>
      </c>
      <c r="D206" s="7">
        <f t="shared" si="18"/>
        <v>504.5662100456621</v>
      </c>
    </row>
    <row r="207" spans="1:4" x14ac:dyDescent="0.2">
      <c r="A207" t="s">
        <v>30</v>
      </c>
      <c r="B207" s="3" t="s">
        <v>47</v>
      </c>
      <c r="C207" s="3">
        <v>4</v>
      </c>
      <c r="D207" s="7">
        <f t="shared" si="18"/>
        <v>504.5662100456621</v>
      </c>
    </row>
    <row r="208" spans="1:4" x14ac:dyDescent="0.2">
      <c r="A208" t="s">
        <v>30</v>
      </c>
      <c r="B208" s="3" t="s">
        <v>47</v>
      </c>
      <c r="C208" s="3">
        <v>5</v>
      </c>
      <c r="D208" s="7">
        <f t="shared" si="18"/>
        <v>504.5662100456621</v>
      </c>
    </row>
    <row r="209" spans="1:4" x14ac:dyDescent="0.2">
      <c r="A209" t="s">
        <v>30</v>
      </c>
      <c r="B209" s="3" t="s">
        <v>47</v>
      </c>
      <c r="C209" s="3">
        <v>6</v>
      </c>
      <c r="D209" s="7">
        <f t="shared" si="18"/>
        <v>504.5662100456621</v>
      </c>
    </row>
    <row r="210" spans="1:4" x14ac:dyDescent="0.2">
      <c r="A210" t="s">
        <v>30</v>
      </c>
      <c r="B210" s="3" t="s">
        <v>47</v>
      </c>
      <c r="C210" s="3">
        <v>7</v>
      </c>
      <c r="D210" s="7">
        <f t="shared" si="18"/>
        <v>504.5662100456621</v>
      </c>
    </row>
    <row r="211" spans="1:4" x14ac:dyDescent="0.2">
      <c r="A211" t="s">
        <v>30</v>
      </c>
      <c r="B211" s="3" t="s">
        <v>47</v>
      </c>
      <c r="C211" s="3">
        <v>8</v>
      </c>
      <c r="D211" s="7">
        <f t="shared" si="18"/>
        <v>504.5662100456621</v>
      </c>
    </row>
    <row r="212" spans="1:4" x14ac:dyDescent="0.2">
      <c r="A212" t="s">
        <v>31</v>
      </c>
      <c r="B212" s="3" t="s">
        <v>47</v>
      </c>
      <c r="C212" s="3">
        <v>1</v>
      </c>
      <c r="D212" s="7">
        <f t="shared" si="18"/>
        <v>388.12785388127855</v>
      </c>
    </row>
    <row r="213" spans="1:4" x14ac:dyDescent="0.2">
      <c r="A213" t="s">
        <v>31</v>
      </c>
      <c r="B213" s="3" t="s">
        <v>47</v>
      </c>
      <c r="C213" s="3">
        <v>2</v>
      </c>
      <c r="D213" s="7">
        <f t="shared" si="18"/>
        <v>388.12785388127855</v>
      </c>
    </row>
    <row r="214" spans="1:4" x14ac:dyDescent="0.2">
      <c r="A214" t="s">
        <v>31</v>
      </c>
      <c r="B214" s="3" t="s">
        <v>47</v>
      </c>
      <c r="C214" s="3">
        <v>3</v>
      </c>
      <c r="D214" s="7">
        <f t="shared" si="18"/>
        <v>388.12785388127855</v>
      </c>
    </row>
    <row r="215" spans="1:4" x14ac:dyDescent="0.2">
      <c r="A215" t="s">
        <v>31</v>
      </c>
      <c r="B215" s="3" t="s">
        <v>47</v>
      </c>
      <c r="C215" s="3">
        <v>4</v>
      </c>
      <c r="D215" s="7">
        <f t="shared" si="18"/>
        <v>388.12785388127855</v>
      </c>
    </row>
    <row r="216" spans="1:4" x14ac:dyDescent="0.2">
      <c r="A216" t="s">
        <v>31</v>
      </c>
      <c r="B216" s="3" t="s">
        <v>47</v>
      </c>
      <c r="C216" s="3">
        <v>5</v>
      </c>
      <c r="D216" s="7">
        <f t="shared" si="18"/>
        <v>388.12785388127855</v>
      </c>
    </row>
    <row r="217" spans="1:4" x14ac:dyDescent="0.2">
      <c r="A217" t="s">
        <v>31</v>
      </c>
      <c r="B217" s="3" t="s">
        <v>47</v>
      </c>
      <c r="C217" s="3">
        <v>6</v>
      </c>
      <c r="D217" s="7">
        <f t="shared" si="18"/>
        <v>388.12785388127855</v>
      </c>
    </row>
    <row r="218" spans="1:4" x14ac:dyDescent="0.2">
      <c r="A218" t="s">
        <v>31</v>
      </c>
      <c r="B218" s="3" t="s">
        <v>47</v>
      </c>
      <c r="C218" s="3">
        <v>7</v>
      </c>
      <c r="D218" s="7">
        <f t="shared" si="18"/>
        <v>388.12785388127855</v>
      </c>
    </row>
    <row r="219" spans="1:4" x14ac:dyDescent="0.2">
      <c r="A219" t="s">
        <v>31</v>
      </c>
      <c r="B219" s="3" t="s">
        <v>47</v>
      </c>
      <c r="C219" s="3">
        <v>8</v>
      </c>
      <c r="D219" s="7">
        <f t="shared" si="18"/>
        <v>388.12785388127855</v>
      </c>
    </row>
    <row r="220" spans="1:4" x14ac:dyDescent="0.2">
      <c r="A220" t="s">
        <v>32</v>
      </c>
      <c r="B220" s="3" t="s">
        <v>47</v>
      </c>
      <c r="C220" s="3">
        <v>1</v>
      </c>
      <c r="D220" s="7">
        <f t="shared" si="18"/>
        <v>807.30593607305946</v>
      </c>
    </row>
    <row r="221" spans="1:4" x14ac:dyDescent="0.2">
      <c r="A221" t="s">
        <v>32</v>
      </c>
      <c r="B221" s="3" t="s">
        <v>47</v>
      </c>
      <c r="C221" s="3">
        <v>2</v>
      </c>
      <c r="D221" s="7">
        <f t="shared" si="18"/>
        <v>807.30593607305946</v>
      </c>
    </row>
    <row r="222" spans="1:4" x14ac:dyDescent="0.2">
      <c r="A222" t="s">
        <v>32</v>
      </c>
      <c r="B222" s="3" t="s">
        <v>47</v>
      </c>
      <c r="C222" s="3">
        <v>3</v>
      </c>
      <c r="D222" s="7">
        <f t="shared" si="18"/>
        <v>807.30593607305946</v>
      </c>
    </row>
    <row r="223" spans="1:4" x14ac:dyDescent="0.2">
      <c r="A223" t="s">
        <v>32</v>
      </c>
      <c r="B223" s="3" t="s">
        <v>47</v>
      </c>
      <c r="C223" s="3">
        <v>4</v>
      </c>
      <c r="D223" s="7">
        <f t="shared" si="18"/>
        <v>807.30593607305946</v>
      </c>
    </row>
    <row r="224" spans="1:4" x14ac:dyDescent="0.2">
      <c r="A224" t="s">
        <v>32</v>
      </c>
      <c r="B224" s="3" t="s">
        <v>47</v>
      </c>
      <c r="C224" s="3">
        <v>5</v>
      </c>
      <c r="D224" s="7">
        <f t="shared" si="18"/>
        <v>807.30593607305946</v>
      </c>
    </row>
    <row r="225" spans="1:4" x14ac:dyDescent="0.2">
      <c r="A225" t="s">
        <v>32</v>
      </c>
      <c r="B225" s="3" t="s">
        <v>47</v>
      </c>
      <c r="C225" s="3">
        <v>6</v>
      </c>
      <c r="D225" s="7">
        <f t="shared" si="18"/>
        <v>807.30593607305946</v>
      </c>
    </row>
    <row r="226" spans="1:4" x14ac:dyDescent="0.2">
      <c r="A226" t="s">
        <v>32</v>
      </c>
      <c r="B226" s="3" t="s">
        <v>47</v>
      </c>
      <c r="C226" s="3">
        <v>7</v>
      </c>
      <c r="D226" s="7">
        <f t="shared" si="18"/>
        <v>807.30593607305946</v>
      </c>
    </row>
    <row r="227" spans="1:4" x14ac:dyDescent="0.2">
      <c r="A227" t="s">
        <v>32</v>
      </c>
      <c r="B227" s="3" t="s">
        <v>47</v>
      </c>
      <c r="C227" s="3">
        <v>8</v>
      </c>
      <c r="D227" s="7">
        <f t="shared" si="18"/>
        <v>807.30593607305946</v>
      </c>
    </row>
    <row r="228" spans="1:4" x14ac:dyDescent="0.2">
      <c r="A228" t="s">
        <v>10</v>
      </c>
      <c r="B228" s="3" t="s">
        <v>47</v>
      </c>
      <c r="C228" s="3">
        <v>1</v>
      </c>
      <c r="D228" s="7">
        <f t="shared" si="18"/>
        <v>476.00000000000006</v>
      </c>
    </row>
    <row r="229" spans="1:4" x14ac:dyDescent="0.2">
      <c r="A229" t="s">
        <v>10</v>
      </c>
      <c r="B229" s="3" t="s">
        <v>47</v>
      </c>
      <c r="C229" s="3">
        <v>2</v>
      </c>
      <c r="D229" s="7">
        <f t="shared" si="18"/>
        <v>476.00000000000006</v>
      </c>
    </row>
    <row r="230" spans="1:4" x14ac:dyDescent="0.2">
      <c r="A230" t="s">
        <v>10</v>
      </c>
      <c r="B230" s="3" t="s">
        <v>47</v>
      </c>
      <c r="C230" s="3">
        <v>3</v>
      </c>
      <c r="D230" s="7">
        <f t="shared" si="18"/>
        <v>476.00000000000006</v>
      </c>
    </row>
    <row r="231" spans="1:4" x14ac:dyDescent="0.2">
      <c r="A231" t="s">
        <v>10</v>
      </c>
      <c r="B231" s="3" t="s">
        <v>47</v>
      </c>
      <c r="C231" s="3">
        <v>4</v>
      </c>
      <c r="D231" s="7">
        <f t="shared" si="18"/>
        <v>476.00000000000006</v>
      </c>
    </row>
    <row r="232" spans="1:4" x14ac:dyDescent="0.2">
      <c r="A232" t="s">
        <v>10</v>
      </c>
      <c r="B232" s="3" t="s">
        <v>47</v>
      </c>
      <c r="C232" s="3">
        <v>5</v>
      </c>
      <c r="D232" s="7">
        <f t="shared" si="18"/>
        <v>476.00000000000006</v>
      </c>
    </row>
    <row r="233" spans="1:4" x14ac:dyDescent="0.2">
      <c r="A233" t="s">
        <v>10</v>
      </c>
      <c r="B233" s="3" t="s">
        <v>47</v>
      </c>
      <c r="C233" s="3">
        <v>6</v>
      </c>
      <c r="D233" s="7">
        <f t="shared" si="18"/>
        <v>476.00000000000006</v>
      </c>
    </row>
    <row r="234" spans="1:4" x14ac:dyDescent="0.2">
      <c r="A234" t="s">
        <v>10</v>
      </c>
      <c r="B234" s="3" t="s">
        <v>47</v>
      </c>
      <c r="C234" s="3">
        <v>7</v>
      </c>
      <c r="D234" s="7">
        <f t="shared" si="18"/>
        <v>476.00000000000006</v>
      </c>
    </row>
    <row r="235" spans="1:4" x14ac:dyDescent="0.2">
      <c r="A235" t="s">
        <v>10</v>
      </c>
      <c r="B235" s="3" t="s">
        <v>47</v>
      </c>
      <c r="C235" s="3">
        <v>8</v>
      </c>
      <c r="D235" s="7">
        <f t="shared" si="18"/>
        <v>476.00000000000006</v>
      </c>
    </row>
  </sheetData>
  <autoFilter ref="A3:D235" xr:uid="{6187725C-A0DC-5A4D-8BE4-2131224B2DB5}"/>
  <phoneticPr fontId="1" type="noConversion"/>
  <hyperlinks>
    <hyperlink ref="L27" r:id="rId1" xr:uid="{6AD25023-4A49-F540-980D-4E1D7149DDE9}"/>
    <hyperlink ref="L26" r:id="rId2" xr:uid="{9D4593E3-EF62-354A-B9CC-81892E2DED5F}"/>
    <hyperlink ref="L25" r:id="rId3" xr:uid="{6E3BC8E2-F5A0-1E43-B88F-5527DCA947D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E310-34F8-FF41-BC2E-FA990D258E7E}">
  <dimension ref="A1:O17"/>
  <sheetViews>
    <sheetView workbookViewId="0"/>
  </sheetViews>
  <sheetFormatPr baseColWidth="10" defaultColWidth="11" defaultRowHeight="16" x14ac:dyDescent="0.2"/>
  <cols>
    <col min="2" max="2" width="14.1640625" bestFit="1" customWidth="1"/>
    <col min="10" max="10" width="12.1640625" bestFit="1" customWidth="1"/>
  </cols>
  <sheetData>
    <row r="1" spans="1:15" x14ac:dyDescent="0.2">
      <c r="A1" t="s">
        <v>71</v>
      </c>
      <c r="M1" t="s">
        <v>64</v>
      </c>
    </row>
    <row r="2" spans="1:15" x14ac:dyDescent="0.2">
      <c r="A2" t="s">
        <v>65</v>
      </c>
      <c r="M2">
        <v>1</v>
      </c>
    </row>
    <row r="3" spans="1:15" x14ac:dyDescent="0.2">
      <c r="A3" t="s">
        <v>17</v>
      </c>
      <c r="B3" t="s">
        <v>82</v>
      </c>
    </row>
    <row r="4" spans="1:15" x14ac:dyDescent="0.2">
      <c r="A4" t="s">
        <v>34</v>
      </c>
      <c r="B4" s="7">
        <f>K5/10^3</f>
        <v>44200000</v>
      </c>
      <c r="H4" t="s">
        <v>17</v>
      </c>
      <c r="I4" t="s">
        <v>58</v>
      </c>
      <c r="J4" t="s">
        <v>60</v>
      </c>
      <c r="K4" t="s">
        <v>54</v>
      </c>
      <c r="M4" t="s">
        <v>55</v>
      </c>
      <c r="O4" t="s">
        <v>59</v>
      </c>
    </row>
    <row r="5" spans="1:15" x14ac:dyDescent="0.2">
      <c r="A5" t="s">
        <v>35</v>
      </c>
      <c r="B5" s="7">
        <f>K6/10^3</f>
        <v>555220000</v>
      </c>
      <c r="H5" t="s">
        <v>34</v>
      </c>
      <c r="I5">
        <v>50.5</v>
      </c>
      <c r="J5">
        <f>65000*10^6</f>
        <v>65000000000</v>
      </c>
      <c r="K5">
        <f>J5*$M$5</f>
        <v>44200000000</v>
      </c>
      <c r="M5">
        <v>0.68</v>
      </c>
      <c r="O5" s="5">
        <v>2.83168E-2</v>
      </c>
    </row>
    <row r="6" spans="1:15" x14ac:dyDescent="0.2">
      <c r="A6" t="s">
        <v>70</v>
      </c>
      <c r="B6" s="7">
        <f>K7/10^3</f>
        <v>240040000.00000003</v>
      </c>
      <c r="H6" t="s">
        <v>35</v>
      </c>
      <c r="J6">
        <f>816500*10^6</f>
        <v>816500000000</v>
      </c>
      <c r="K6">
        <f t="shared" ref="K6:K7" si="0">J6*$M$5</f>
        <v>555220000000</v>
      </c>
    </row>
    <row r="7" spans="1:15" x14ac:dyDescent="0.2">
      <c r="A7" t="s">
        <v>50</v>
      </c>
      <c r="B7" s="7">
        <f>K8/10^3</f>
        <v>127085798.39999999</v>
      </c>
      <c r="H7" t="s">
        <v>70</v>
      </c>
      <c r="J7">
        <f>353000*10^6</f>
        <v>353000000000</v>
      </c>
      <c r="K7">
        <f t="shared" si="0"/>
        <v>240040000000.00003</v>
      </c>
    </row>
    <row r="8" spans="1:15" x14ac:dyDescent="0.2">
      <c r="A8" t="s">
        <v>5</v>
      </c>
      <c r="B8" s="7">
        <f>K10*I16/10^3</f>
        <v>340875243.51372606</v>
      </c>
      <c r="H8" t="s">
        <v>50</v>
      </c>
      <c r="I8">
        <v>6.6</v>
      </c>
      <c r="J8">
        <f t="shared" ref="J8:J10" si="1">I8*$O$5*10^12</f>
        <v>186890879999.99997</v>
      </c>
      <c r="K8">
        <f t="shared" ref="K8:K10" si="2">J8*$M$5</f>
        <v>127085798399.99998</v>
      </c>
    </row>
    <row r="9" spans="1:15" x14ac:dyDescent="0.2">
      <c r="A9" t="s">
        <v>9</v>
      </c>
      <c r="B9" s="7">
        <f>(K9+K10*I17)/10^3</f>
        <v>2181585300.4862738</v>
      </c>
      <c r="H9" t="s">
        <v>56</v>
      </c>
      <c r="I9">
        <v>50.5</v>
      </c>
      <c r="J9">
        <f t="shared" si="1"/>
        <v>1429998400000</v>
      </c>
      <c r="K9">
        <f t="shared" si="2"/>
        <v>972398912000.00012</v>
      </c>
    </row>
    <row r="10" spans="1:15" x14ac:dyDescent="0.2">
      <c r="H10" t="s">
        <v>57</v>
      </c>
      <c r="I10">
        <v>80.5</v>
      </c>
      <c r="J10">
        <f t="shared" si="1"/>
        <v>2279502400000</v>
      </c>
      <c r="K10">
        <f t="shared" si="2"/>
        <v>1550061632000</v>
      </c>
    </row>
    <row r="13" spans="1:15" x14ac:dyDescent="0.2">
      <c r="H13" t="s">
        <v>63</v>
      </c>
    </row>
    <row r="15" spans="1:15" x14ac:dyDescent="0.2">
      <c r="H15" t="s">
        <v>61</v>
      </c>
      <c r="I15" t="s">
        <v>62</v>
      </c>
    </row>
    <row r="16" spans="1:15" x14ac:dyDescent="0.2">
      <c r="G16" t="s">
        <v>5</v>
      </c>
      <c r="H16">
        <f>TerminalCapacity!D52</f>
        <v>1921.913314862584</v>
      </c>
      <c r="I16" s="6">
        <f>H16/SUM($H$16:$H$17)</f>
        <v>0.21991076772470303</v>
      </c>
    </row>
    <row r="17" spans="7:9" x14ac:dyDescent="0.2">
      <c r="G17" t="s">
        <v>9</v>
      </c>
      <c r="H17">
        <f>TerminalCapacity!D68</f>
        <v>6817.6010561142193</v>
      </c>
      <c r="I17" s="6">
        <f>H17/SUM($H$16:$H$17)</f>
        <v>0.78008923227529692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StorageCapacity</vt:lpstr>
      <vt:lpstr>PipelineCapacity</vt:lpstr>
      <vt:lpstr>PipelineElectricityUse</vt:lpstr>
      <vt:lpstr>TerminalCost</vt:lpstr>
      <vt:lpstr>TerminalCapacity</vt:lpstr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2022-06-06T12:15:25Z</dcterms:created>
  <dcterms:modified xsi:type="dcterms:W3CDTF">2023-05-26T09:20:47Z</dcterms:modified>
</cp:coreProperties>
</file>